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tess\Documents\Nyenrode\Committees\De Zilveren Rijder\"/>
    </mc:Choice>
  </mc:AlternateContent>
  <xr:revisionPtr revIDLastSave="0" documentId="13_ncr:1_{29DA7F2F-9370-42C3-A530-62220DEF4C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lanation" sheetId="5" r:id="rId1"/>
    <sheet name="Revenue sheet" sheetId="1" r:id="rId2"/>
    <sheet name="Income statement" sheetId="7" r:id="rId3"/>
    <sheet name="Balance Sheet" sheetId="3" r:id="rId4"/>
    <sheet name="Cashflow statement" sheetId="9" r:id="rId5"/>
    <sheet name="Valuation sheet" sheetId="4" r:id="rId6"/>
    <sheet name="DCF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E17" i="3"/>
  <c r="C26" i="6"/>
  <c r="T29" i="4"/>
  <c r="E8" i="6"/>
  <c r="G42" i="3" l="1"/>
  <c r="J9" i="3"/>
  <c r="J8" i="3" s="1"/>
  <c r="G12" i="7"/>
  <c r="G22" i="7" s="1"/>
  <c r="J62" i="3"/>
  <c r="I62" i="3"/>
  <c r="H62" i="3"/>
  <c r="G62" i="3"/>
  <c r="F62" i="3"/>
  <c r="E62" i="3"/>
  <c r="E12" i="7"/>
  <c r="E17" i="7" s="1"/>
  <c r="C11" i="6"/>
  <c r="C10" i="6" s="1"/>
  <c r="G45" i="3"/>
  <c r="H45" i="3" s="1"/>
  <c r="I45" i="3" s="1"/>
  <c r="J45" i="3" s="1"/>
  <c r="G46" i="3"/>
  <c r="H46" i="3" s="1"/>
  <c r="I46" i="3" s="1"/>
  <c r="J46" i="3" s="1"/>
  <c r="G47" i="3"/>
  <c r="H47" i="3" s="1"/>
  <c r="I47" i="3" s="1"/>
  <c r="J47" i="3" s="1"/>
  <c r="G44" i="3"/>
  <c r="H44" i="3" s="1"/>
  <c r="I44" i="3" s="1"/>
  <c r="J42" i="3"/>
  <c r="E16" i="3"/>
  <c r="F16" i="3"/>
  <c r="D16" i="3"/>
  <c r="E12" i="3"/>
  <c r="G12" i="3" s="1"/>
  <c r="G11" i="3" s="1"/>
  <c r="G15" i="3" s="1"/>
  <c r="G17" i="3" s="1"/>
  <c r="F12" i="3"/>
  <c r="D12" i="3"/>
  <c r="E9" i="3"/>
  <c r="G9" i="3" s="1"/>
  <c r="G8" i="3" s="1"/>
  <c r="F9" i="3"/>
  <c r="I9" i="3" s="1"/>
  <c r="I8" i="3" s="1"/>
  <c r="D9" i="3"/>
  <c r="F12" i="7"/>
  <c r="F22" i="7" s="1"/>
  <c r="F27" i="3"/>
  <c r="R13" i="3" s="1"/>
  <c r="F19" i="3"/>
  <c r="E19" i="3"/>
  <c r="D27" i="3"/>
  <c r="E27" i="3"/>
  <c r="P13" i="3" s="1"/>
  <c r="D19" i="3"/>
  <c r="E50" i="3"/>
  <c r="F50" i="3"/>
  <c r="D50" i="3"/>
  <c r="D40" i="3"/>
  <c r="D59" i="3"/>
  <c r="N7" i="3" s="1"/>
  <c r="E38" i="1"/>
  <c r="F38" i="1"/>
  <c r="F39" i="1" s="1"/>
  <c r="G38" i="1"/>
  <c r="G39" i="1" s="1"/>
  <c r="G31" i="1"/>
  <c r="G33" i="1"/>
  <c r="G35" i="1"/>
  <c r="G37" i="1"/>
  <c r="F37" i="1"/>
  <c r="F35" i="1"/>
  <c r="F33" i="1"/>
  <c r="F31" i="1"/>
  <c r="F29" i="1"/>
  <c r="G29" i="1"/>
  <c r="O7" i="1"/>
  <c r="F7" i="1"/>
  <c r="F19" i="1" s="1"/>
  <c r="O13" i="1"/>
  <c r="O14" i="1" s="1"/>
  <c r="F13" i="1"/>
  <c r="L14" i="1" s="1"/>
  <c r="E7" i="1"/>
  <c r="E13" i="1"/>
  <c r="K14" i="1" s="1"/>
  <c r="E19" i="1"/>
  <c r="K19" i="1"/>
  <c r="L19" i="1"/>
  <c r="L21" i="1" s="1"/>
  <c r="M19" i="1"/>
  <c r="M20" i="1" s="1"/>
  <c r="N19" i="1"/>
  <c r="F39" i="7"/>
  <c r="Q19" i="1"/>
  <c r="R19" i="1"/>
  <c r="U19" i="1" s="1"/>
  <c r="S19" i="1"/>
  <c r="T19" i="1"/>
  <c r="W21" i="1" s="1"/>
  <c r="G39" i="7"/>
  <c r="W19" i="1"/>
  <c r="X7" i="1"/>
  <c r="Y7" i="1" s="1"/>
  <c r="X13" i="1"/>
  <c r="X14" i="1" s="1"/>
  <c r="Y13" i="1"/>
  <c r="Z13" i="1" s="1"/>
  <c r="I19" i="1"/>
  <c r="E4" i="7"/>
  <c r="D49" i="3" s="1"/>
  <c r="E39" i="7"/>
  <c r="E44" i="7"/>
  <c r="C34" i="6" s="1"/>
  <c r="C36" i="4"/>
  <c r="C38" i="4" s="1"/>
  <c r="C7" i="6" s="1"/>
  <c r="G6" i="3"/>
  <c r="H6" i="3" s="1"/>
  <c r="I6" i="3" s="1"/>
  <c r="J6" i="3" s="1"/>
  <c r="G54" i="3"/>
  <c r="H54" i="3" s="1"/>
  <c r="I54" i="3" s="1"/>
  <c r="J54" i="3" s="1"/>
  <c r="G55" i="3"/>
  <c r="H55" i="3" s="1"/>
  <c r="I55" i="3" s="1"/>
  <c r="J55" i="3" s="1"/>
  <c r="G56" i="3"/>
  <c r="H56" i="3" s="1"/>
  <c r="I56" i="3" s="1"/>
  <c r="J56" i="3" s="1"/>
  <c r="G58" i="3"/>
  <c r="H58" i="3" s="1"/>
  <c r="I58" i="3" s="1"/>
  <c r="J58" i="3" s="1"/>
  <c r="F40" i="3"/>
  <c r="G40" i="3" s="1"/>
  <c r="E40" i="3"/>
  <c r="D35" i="3"/>
  <c r="E35" i="3"/>
  <c r="F35" i="3"/>
  <c r="C32" i="6" s="1"/>
  <c r="G25" i="3"/>
  <c r="H25" i="3" s="1"/>
  <c r="I25" i="3" s="1"/>
  <c r="J25" i="3" s="1"/>
  <c r="U13" i="1"/>
  <c r="Y14" i="1"/>
  <c r="W14" i="1"/>
  <c r="U7" i="1"/>
  <c r="U8" i="1" s="1"/>
  <c r="W8" i="1"/>
  <c r="W15" i="1"/>
  <c r="T15" i="1"/>
  <c r="S15" i="1"/>
  <c r="R15" i="1"/>
  <c r="Q15" i="1"/>
  <c r="L15" i="1"/>
  <c r="H13" i="1"/>
  <c r="K15" i="1" s="1"/>
  <c r="S21" i="1"/>
  <c r="Q21" i="1"/>
  <c r="M21" i="1"/>
  <c r="H7" i="1"/>
  <c r="H9" i="1" s="1"/>
  <c r="N15" i="1"/>
  <c r="M15" i="1"/>
  <c r="G7" i="1"/>
  <c r="G19" i="1" s="1"/>
  <c r="G13" i="1"/>
  <c r="G15" i="1" s="1"/>
  <c r="H15" i="1"/>
  <c r="W9" i="1"/>
  <c r="T9" i="1"/>
  <c r="S9" i="1"/>
  <c r="R9" i="1"/>
  <c r="Q9" i="1"/>
  <c r="M9" i="1"/>
  <c r="N9" i="1"/>
  <c r="L9" i="1"/>
  <c r="K9" i="1"/>
  <c r="G9" i="1"/>
  <c r="F9" i="1"/>
  <c r="E59" i="3"/>
  <c r="P7" i="3" s="1"/>
  <c r="F59" i="3"/>
  <c r="R7" i="3" s="1"/>
  <c r="W20" i="1"/>
  <c r="T14" i="1"/>
  <c r="S14" i="1"/>
  <c r="R14" i="1"/>
  <c r="Q14" i="1"/>
  <c r="T8" i="1"/>
  <c r="S8" i="1"/>
  <c r="R8" i="1"/>
  <c r="Q8" i="1"/>
  <c r="M14" i="1"/>
  <c r="F44" i="1"/>
  <c r="K20" i="1"/>
  <c r="K8" i="1"/>
  <c r="O8" i="1"/>
  <c r="R20" i="1"/>
  <c r="Q20" i="1"/>
  <c r="U14" i="1"/>
  <c r="N8" i="1"/>
  <c r="L8" i="1"/>
  <c r="G4" i="7" l="1"/>
  <c r="G23" i="7" s="1"/>
  <c r="F21" i="1"/>
  <c r="L20" i="1"/>
  <c r="AC13" i="1"/>
  <c r="AA13" i="1"/>
  <c r="AA14" i="1" s="1"/>
  <c r="Z14" i="1"/>
  <c r="G21" i="1"/>
  <c r="H12" i="3"/>
  <c r="T20" i="1"/>
  <c r="N21" i="1"/>
  <c r="G17" i="7"/>
  <c r="F15" i="1"/>
  <c r="O19" i="1"/>
  <c r="N13" i="3"/>
  <c r="E21" i="7"/>
  <c r="H9" i="3"/>
  <c r="H8" i="3" s="1"/>
  <c r="S20" i="1"/>
  <c r="H19" i="1"/>
  <c r="T21" i="1"/>
  <c r="M8" i="1"/>
  <c r="N14" i="1"/>
  <c r="R21" i="1"/>
  <c r="D34" i="3"/>
  <c r="R26" i="3"/>
  <c r="X19" i="1"/>
  <c r="X20" i="1" s="1"/>
  <c r="X8" i="1"/>
  <c r="D8" i="6"/>
  <c r="C20" i="6" s="1"/>
  <c r="X21" i="1"/>
  <c r="Z7" i="1"/>
  <c r="Y19" i="1"/>
  <c r="AA7" i="1"/>
  <c r="AA8" i="1" s="1"/>
  <c r="Y8" i="1"/>
  <c r="H15" i="7"/>
  <c r="D4" i="9" s="1"/>
  <c r="H42" i="3"/>
  <c r="I42" i="3" s="1"/>
  <c r="D14" i="3"/>
  <c r="D62" i="3"/>
  <c r="E22" i="7"/>
  <c r="J44" i="3"/>
  <c r="F28" i="3"/>
  <c r="R5" i="3" s="1"/>
  <c r="D28" i="3"/>
  <c r="F51" i="3"/>
  <c r="C8" i="6" s="1"/>
  <c r="C17" i="6" s="1"/>
  <c r="E51" i="3"/>
  <c r="E28" i="3"/>
  <c r="P5" i="3" s="1"/>
  <c r="H40" i="3"/>
  <c r="D24" i="3"/>
  <c r="D22" i="3"/>
  <c r="D32" i="3"/>
  <c r="D38" i="3"/>
  <c r="E9" i="7"/>
  <c r="N5" i="3"/>
  <c r="D51" i="3"/>
  <c r="H21" i="1" l="1"/>
  <c r="N20" i="1"/>
  <c r="K21" i="1"/>
  <c r="O20" i="1"/>
  <c r="F4" i="7"/>
  <c r="U20" i="1"/>
  <c r="D7" i="6"/>
  <c r="C19" i="6" s="1"/>
  <c r="C21" i="6" s="1"/>
  <c r="F39" i="6" s="1"/>
  <c r="I12" i="3"/>
  <c r="H11" i="3"/>
  <c r="AG13" i="1"/>
  <c r="AD13" i="1"/>
  <c r="AE13" i="1" s="1"/>
  <c r="AF13" i="1" s="1"/>
  <c r="AI13" i="1" s="1"/>
  <c r="F49" i="3"/>
  <c r="G21" i="7"/>
  <c r="F32" i="3"/>
  <c r="F24" i="3"/>
  <c r="G24" i="3" s="1"/>
  <c r="H24" i="3" s="1"/>
  <c r="I24" i="3" s="1"/>
  <c r="F34" i="3"/>
  <c r="G9" i="7"/>
  <c r="F38" i="3"/>
  <c r="F22" i="3"/>
  <c r="F14" i="3"/>
  <c r="Y21" i="1"/>
  <c r="Y20" i="1"/>
  <c r="Z19" i="1"/>
  <c r="AC7" i="1"/>
  <c r="Z8" i="1"/>
  <c r="D11" i="9"/>
  <c r="D12" i="9" s="1"/>
  <c r="E23" i="7"/>
  <c r="F60" i="3"/>
  <c r="F64" i="3" s="1"/>
  <c r="R14" i="3"/>
  <c r="N6" i="3"/>
  <c r="N14" i="3"/>
  <c r="P6" i="3"/>
  <c r="P8" i="3" s="1"/>
  <c r="P14" i="3"/>
  <c r="H15" i="3"/>
  <c r="E25" i="7"/>
  <c r="R6" i="3"/>
  <c r="R8" i="3" s="1"/>
  <c r="E60" i="3"/>
  <c r="E64" i="3" s="1"/>
  <c r="J24" i="3"/>
  <c r="E10" i="7"/>
  <c r="I40" i="3"/>
  <c r="D60" i="3"/>
  <c r="E72" i="3" s="1"/>
  <c r="N8" i="3"/>
  <c r="G10" i="7" l="1"/>
  <c r="R17" i="3" s="1"/>
  <c r="G25" i="7"/>
  <c r="I11" i="3"/>
  <c r="I15" i="3" s="1"/>
  <c r="J12" i="3"/>
  <c r="J11" i="3" s="1"/>
  <c r="J15" i="3" s="1"/>
  <c r="J17" i="3" s="1"/>
  <c r="F9" i="7"/>
  <c r="E38" i="3"/>
  <c r="G38" i="3" s="1"/>
  <c r="H38" i="3" s="1"/>
  <c r="F21" i="7"/>
  <c r="E22" i="3"/>
  <c r="F17" i="7"/>
  <c r="E34" i="3"/>
  <c r="E32" i="3"/>
  <c r="G5" i="7"/>
  <c r="F5" i="7"/>
  <c r="F23" i="7"/>
  <c r="E49" i="3"/>
  <c r="E14" i="3"/>
  <c r="E24" i="3"/>
  <c r="H16" i="3"/>
  <c r="H17" i="3"/>
  <c r="AJ13" i="1"/>
  <c r="AI14" i="1"/>
  <c r="AD7" i="1"/>
  <c r="AC19" i="1"/>
  <c r="AC8" i="1"/>
  <c r="Z20" i="1"/>
  <c r="Z21" i="1"/>
  <c r="AA19" i="1"/>
  <c r="G39" i="6"/>
  <c r="F42" i="6"/>
  <c r="F41" i="6"/>
  <c r="C28" i="4" s="1"/>
  <c r="C33" i="4" s="1"/>
  <c r="E39" i="6"/>
  <c r="F40" i="6"/>
  <c r="C27" i="6"/>
  <c r="C28" i="6" s="1"/>
  <c r="C23" i="6"/>
  <c r="G11" i="9"/>
  <c r="K15" i="7"/>
  <c r="G4" i="9" s="1"/>
  <c r="E11" i="9"/>
  <c r="E12" i="9" s="1"/>
  <c r="I15" i="7"/>
  <c r="E4" i="9" s="1"/>
  <c r="N17" i="3"/>
  <c r="J16" i="3"/>
  <c r="G16" i="3"/>
  <c r="D64" i="3"/>
  <c r="J40" i="3"/>
  <c r="E26" i="7"/>
  <c r="N18" i="3" s="1"/>
  <c r="E29" i="7"/>
  <c r="E33" i="7" s="1"/>
  <c r="I17" i="3" l="1"/>
  <c r="F11" i="9" s="1"/>
  <c r="F12" i="9" s="1"/>
  <c r="I16" i="3"/>
  <c r="J15" i="7"/>
  <c r="F4" i="9" s="1"/>
  <c r="G29" i="7"/>
  <c r="G26" i="7"/>
  <c r="R18" i="3" s="1"/>
  <c r="F25" i="7"/>
  <c r="F10" i="7"/>
  <c r="AK13" i="1"/>
  <c r="AJ14" i="1"/>
  <c r="I14" i="3"/>
  <c r="G14" i="3"/>
  <c r="H14" i="3"/>
  <c r="J14" i="3"/>
  <c r="G22" i="3"/>
  <c r="J22" i="3"/>
  <c r="H22" i="3"/>
  <c r="I22" i="3"/>
  <c r="I38" i="3"/>
  <c r="J38" i="3" s="1"/>
  <c r="AC20" i="1"/>
  <c r="AC21" i="1"/>
  <c r="AE7" i="1"/>
  <c r="AD19" i="1"/>
  <c r="AD8" i="1"/>
  <c r="AA20" i="1"/>
  <c r="H4" i="7"/>
  <c r="C31" i="6"/>
  <c r="C33" i="6" s="1"/>
  <c r="C35" i="6" s="1"/>
  <c r="D41" i="6"/>
  <c r="D40" i="6"/>
  <c r="D42" i="6"/>
  <c r="E42" i="6"/>
  <c r="C26" i="4" s="1"/>
  <c r="E41" i="6"/>
  <c r="E40" i="6"/>
  <c r="H39" i="6"/>
  <c r="G41" i="6"/>
  <c r="G42" i="6"/>
  <c r="G40" i="6"/>
  <c r="C27" i="4" s="1"/>
  <c r="G12" i="9"/>
  <c r="E32" i="7"/>
  <c r="AK14" i="1" l="1"/>
  <c r="AL13" i="1"/>
  <c r="AM13" i="1"/>
  <c r="AM14" i="1" s="1"/>
  <c r="G32" i="7"/>
  <c r="G41" i="7" s="1"/>
  <c r="G33" i="7"/>
  <c r="C16" i="6" s="1"/>
  <c r="C15" i="6" s="1"/>
  <c r="P17" i="3"/>
  <c r="H10" i="7"/>
  <c r="F29" i="7"/>
  <c r="F26" i="7"/>
  <c r="P18" i="3" s="1"/>
  <c r="G33" i="3"/>
  <c r="G41" i="3"/>
  <c r="G21" i="3"/>
  <c r="H5" i="7"/>
  <c r="G43" i="3"/>
  <c r="H19" i="7"/>
  <c r="H20" i="7"/>
  <c r="H18" i="7"/>
  <c r="G23" i="3"/>
  <c r="G31" i="3"/>
  <c r="D14" i="9" s="1"/>
  <c r="C4" i="4"/>
  <c r="G13" i="3"/>
  <c r="G19" i="3" s="1"/>
  <c r="H12" i="7"/>
  <c r="AE19" i="1"/>
  <c r="AE8" i="1"/>
  <c r="AF7" i="1"/>
  <c r="AG7" i="1" s="1"/>
  <c r="AG8" i="1" s="1"/>
  <c r="AD20" i="1"/>
  <c r="AD21" i="1"/>
  <c r="H40" i="6"/>
  <c r="H41" i="6"/>
  <c r="H42" i="6"/>
  <c r="G45" i="7"/>
  <c r="R20" i="3"/>
  <c r="R19" i="3"/>
  <c r="E41" i="7"/>
  <c r="E45" i="7" s="1"/>
  <c r="F32" i="7" l="1"/>
  <c r="F41" i="7" s="1"/>
  <c r="F33" i="7"/>
  <c r="S17" i="3"/>
  <c r="I10" i="7"/>
  <c r="H9" i="7"/>
  <c r="H7" i="7" s="1"/>
  <c r="AO13" i="1"/>
  <c r="AL14" i="1"/>
  <c r="E33" i="4"/>
  <c r="H8" i="7"/>
  <c r="H13" i="7"/>
  <c r="H16" i="7"/>
  <c r="H22" i="7"/>
  <c r="H23" i="7" s="1"/>
  <c r="H14" i="7"/>
  <c r="C10" i="4"/>
  <c r="C9" i="4" s="1"/>
  <c r="C15" i="4"/>
  <c r="C14" i="4" s="1"/>
  <c r="C20" i="4"/>
  <c r="C19" i="4" s="1"/>
  <c r="AF19" i="1"/>
  <c r="AG19" i="1" s="1"/>
  <c r="AF8" i="1"/>
  <c r="AI7" i="1"/>
  <c r="D8" i="9"/>
  <c r="AE21" i="1"/>
  <c r="AE20" i="1"/>
  <c r="C5" i="4"/>
  <c r="H39" i="7"/>
  <c r="D5" i="9"/>
  <c r="N20" i="3"/>
  <c r="N19" i="3"/>
  <c r="R23" i="3"/>
  <c r="R24" i="3"/>
  <c r="G35" i="3"/>
  <c r="P19" i="3" l="1"/>
  <c r="F45" i="7"/>
  <c r="P20" i="3"/>
  <c r="T17" i="3"/>
  <c r="J10" i="7"/>
  <c r="AO14" i="1"/>
  <c r="AP13" i="1"/>
  <c r="H33" i="7"/>
  <c r="J33" i="7"/>
  <c r="I33" i="7"/>
  <c r="K33" i="7"/>
  <c r="AG20" i="1"/>
  <c r="I4" i="7"/>
  <c r="AI19" i="1"/>
  <c r="AI8" i="1"/>
  <c r="AJ7" i="1"/>
  <c r="H37" i="7"/>
  <c r="H38" i="7"/>
  <c r="AF20" i="1"/>
  <c r="AF21" i="1"/>
  <c r="U17" i="3" l="1"/>
  <c r="K10" i="7"/>
  <c r="V17" i="3" s="1"/>
  <c r="AQ13" i="1"/>
  <c r="AP14" i="1"/>
  <c r="AI21" i="1"/>
  <c r="AI20" i="1"/>
  <c r="H31" i="3"/>
  <c r="I18" i="7"/>
  <c r="I19" i="7"/>
  <c r="I20" i="7"/>
  <c r="D4" i="4"/>
  <c r="H33" i="3"/>
  <c r="H23" i="3"/>
  <c r="H41" i="3"/>
  <c r="E8" i="9" s="1"/>
  <c r="I5" i="7"/>
  <c r="H43" i="3"/>
  <c r="H13" i="3"/>
  <c r="H19" i="3" s="1"/>
  <c r="H21" i="3"/>
  <c r="I12" i="7"/>
  <c r="I9" i="7"/>
  <c r="I7" i="7" s="1"/>
  <c r="AJ19" i="1"/>
  <c r="AJ8" i="1"/>
  <c r="AK7" i="1"/>
  <c r="AQ14" i="1" l="1"/>
  <c r="AR13" i="1"/>
  <c r="AL7" i="1"/>
  <c r="AM7" i="1" s="1"/>
  <c r="AM8" i="1" s="1"/>
  <c r="AK19" i="1"/>
  <c r="AK8" i="1"/>
  <c r="AJ21" i="1"/>
  <c r="AJ20" i="1"/>
  <c r="I22" i="7"/>
  <c r="I23" i="7" s="1"/>
  <c r="I13" i="7"/>
  <c r="I16" i="7"/>
  <c r="I14" i="7"/>
  <c r="D5" i="4"/>
  <c r="I39" i="7"/>
  <c r="D10" i="4"/>
  <c r="D9" i="4" s="1"/>
  <c r="D20" i="4"/>
  <c r="D19" i="4" s="1"/>
  <c r="D15" i="4"/>
  <c r="D14" i="4" s="1"/>
  <c r="E5" i="9"/>
  <c r="I8" i="7"/>
  <c r="E14" i="9"/>
  <c r="H35" i="3"/>
  <c r="AR14" i="1" l="1"/>
  <c r="AS13" i="1"/>
  <c r="AS14" i="1" s="1"/>
  <c r="I25" i="7"/>
  <c r="AK21" i="1"/>
  <c r="AK20" i="1"/>
  <c r="I37" i="7"/>
  <c r="I38" i="7"/>
  <c r="AL19" i="1"/>
  <c r="AO7" i="1"/>
  <c r="AL8" i="1"/>
  <c r="AO19" i="1" l="1"/>
  <c r="AO8" i="1"/>
  <c r="AP7" i="1"/>
  <c r="AL21" i="1"/>
  <c r="AL20" i="1"/>
  <c r="AM19" i="1"/>
  <c r="I29" i="7"/>
  <c r="I26" i="7"/>
  <c r="T18" i="3" s="1"/>
  <c r="AQ7" i="1" l="1"/>
  <c r="AP19" i="1"/>
  <c r="AP8" i="1"/>
  <c r="AO21" i="1"/>
  <c r="AO20" i="1"/>
  <c r="J4" i="7"/>
  <c r="AM20" i="1"/>
  <c r="I31" i="7"/>
  <c r="E4" i="4" l="1"/>
  <c r="J19" i="7"/>
  <c r="J18" i="7"/>
  <c r="J5" i="7"/>
  <c r="J20" i="7"/>
  <c r="I33" i="3"/>
  <c r="I31" i="3"/>
  <c r="I43" i="3"/>
  <c r="I23" i="3"/>
  <c r="I13" i="3"/>
  <c r="I19" i="3" s="1"/>
  <c r="J12" i="7"/>
  <c r="I21" i="3"/>
  <c r="J9" i="7"/>
  <c r="I41" i="3"/>
  <c r="I32" i="7"/>
  <c r="AP21" i="1"/>
  <c r="AP20" i="1"/>
  <c r="AR7" i="1"/>
  <c r="AQ8" i="1"/>
  <c r="AQ19" i="1"/>
  <c r="F5" i="9" l="1"/>
  <c r="AR8" i="1"/>
  <c r="AR19" i="1"/>
  <c r="F8" i="9"/>
  <c r="E20" i="4"/>
  <c r="E19" i="4" s="1"/>
  <c r="E10" i="4"/>
  <c r="E9" i="4" s="1"/>
  <c r="E15" i="4"/>
  <c r="E14" i="4" s="1"/>
  <c r="J8" i="7"/>
  <c r="E5" i="4"/>
  <c r="J39" i="7"/>
  <c r="AS7" i="1"/>
  <c r="AS8" i="1" s="1"/>
  <c r="I41" i="7"/>
  <c r="H39" i="3"/>
  <c r="H50" i="3" s="1"/>
  <c r="H51" i="3" s="1"/>
  <c r="T6" i="3" s="1"/>
  <c r="J22" i="7"/>
  <c r="J23" i="7" s="1"/>
  <c r="J14" i="7"/>
  <c r="J13" i="7"/>
  <c r="J16" i="7"/>
  <c r="AQ21" i="1"/>
  <c r="AQ20" i="1"/>
  <c r="J7" i="7"/>
  <c r="F14" i="9"/>
  <c r="F17" i="9" s="1"/>
  <c r="I35" i="3"/>
  <c r="AS19" i="1"/>
  <c r="H25" i="7"/>
  <c r="K4" i="7" l="1"/>
  <c r="AS20" i="1"/>
  <c r="E3" i="9"/>
  <c r="I45" i="7"/>
  <c r="K4" i="4" s="1"/>
  <c r="J38" i="7"/>
  <c r="J37" i="7"/>
  <c r="AR21" i="1"/>
  <c r="AR20" i="1"/>
  <c r="J25" i="7"/>
  <c r="H29" i="7"/>
  <c r="H26" i="7"/>
  <c r="S18" i="3" s="1"/>
  <c r="J26" i="7" l="1"/>
  <c r="U18" i="3" s="1"/>
  <c r="J29" i="7"/>
  <c r="F4" i="4"/>
  <c r="K20" i="7"/>
  <c r="K19" i="7"/>
  <c r="K18" i="7"/>
  <c r="K5" i="7"/>
  <c r="J33" i="3"/>
  <c r="J31" i="3"/>
  <c r="G14" i="9" s="1"/>
  <c r="G17" i="9" s="1"/>
  <c r="J43" i="3"/>
  <c r="J13" i="3"/>
  <c r="J19" i="3" s="1"/>
  <c r="J23" i="3"/>
  <c r="J21" i="3"/>
  <c r="K12" i="7"/>
  <c r="K9" i="7"/>
  <c r="J41" i="3"/>
  <c r="G8" i="9" s="1"/>
  <c r="H31" i="7"/>
  <c r="G5" i="9" l="1"/>
  <c r="J31" i="7"/>
  <c r="J32" i="7" s="1"/>
  <c r="K22" i="7"/>
  <c r="K25" i="7" s="1"/>
  <c r="K14" i="7"/>
  <c r="K13" i="7"/>
  <c r="K16" i="7"/>
  <c r="F5" i="4"/>
  <c r="K39" i="7"/>
  <c r="K8" i="7"/>
  <c r="K7" i="7"/>
  <c r="F10" i="4"/>
  <c r="F9" i="4" s="1"/>
  <c r="F15" i="4"/>
  <c r="F14" i="4" s="1"/>
  <c r="F20" i="4"/>
  <c r="F19" i="4" s="1"/>
  <c r="F22" i="4" s="1"/>
  <c r="C31" i="4" s="1"/>
  <c r="H32" i="7"/>
  <c r="H41" i="7" s="1"/>
  <c r="E31" i="4" l="1"/>
  <c r="K37" i="7"/>
  <c r="K38" i="7"/>
  <c r="I39" i="3"/>
  <c r="J41" i="7"/>
  <c r="G39" i="3"/>
  <c r="G57" i="3"/>
  <c r="F7" i="9" l="1"/>
  <c r="I50" i="3"/>
  <c r="I51" i="3" s="1"/>
  <c r="U6" i="3" s="1"/>
  <c r="D7" i="9"/>
  <c r="G50" i="3"/>
  <c r="G51" i="3" s="1"/>
  <c r="S6" i="3" s="1"/>
  <c r="F3" i="9"/>
  <c r="F9" i="9" s="1"/>
  <c r="J45" i="7"/>
  <c r="L4" i="4" s="1"/>
  <c r="E7" i="9"/>
  <c r="E9" i="9" s="1"/>
  <c r="D4" i="6" s="1"/>
  <c r="E17" i="9"/>
  <c r="D17" i="9"/>
  <c r="H45" i="7"/>
  <c r="J4" i="4" s="1"/>
  <c r="D3" i="9"/>
  <c r="D9" i="9" s="1"/>
  <c r="C4" i="6" s="1"/>
  <c r="L5" i="4" l="1"/>
  <c r="L14" i="4" s="1"/>
  <c r="L15" i="4" s="1"/>
  <c r="L9" i="4"/>
  <c r="L10" i="4" s="1"/>
  <c r="F18" i="9"/>
  <c r="E4" i="6"/>
  <c r="E18" i="9"/>
  <c r="J5" i="4"/>
  <c r="J19" i="4" s="1"/>
  <c r="J20" i="4" s="1"/>
  <c r="K5" i="4"/>
  <c r="D18" i="9"/>
  <c r="H57" i="3"/>
  <c r="G59" i="3"/>
  <c r="S7" i="3" s="1"/>
  <c r="S8" i="3" s="1"/>
  <c r="L19" i="4" l="1"/>
  <c r="L20" i="4" s="1"/>
  <c r="J14" i="4"/>
  <c r="J15" i="4" s="1"/>
  <c r="K19" i="4"/>
  <c r="K20" i="4" s="1"/>
  <c r="K9" i="4"/>
  <c r="K10" i="4" s="1"/>
  <c r="K14" i="4"/>
  <c r="K15" i="4" s="1"/>
  <c r="G26" i="3"/>
  <c r="J9" i="4"/>
  <c r="J10" i="4" s="1"/>
  <c r="G60" i="3"/>
  <c r="S14" i="3"/>
  <c r="S19" i="3"/>
  <c r="I57" i="3"/>
  <c r="H59" i="3"/>
  <c r="G27" i="3" l="1"/>
  <c r="G28" i="3" s="1"/>
  <c r="S5" i="3" s="1"/>
  <c r="S9" i="3" s="1"/>
  <c r="S32" i="3" s="1"/>
  <c r="S13" i="3"/>
  <c r="H26" i="3"/>
  <c r="T14" i="3"/>
  <c r="H60" i="3"/>
  <c r="T19" i="3"/>
  <c r="T7" i="3"/>
  <c r="T8" i="3" s="1"/>
  <c r="I59" i="3"/>
  <c r="G64" i="3"/>
  <c r="S20" i="3" l="1"/>
  <c r="I26" i="3"/>
  <c r="H27" i="3"/>
  <c r="U7" i="3"/>
  <c r="U8" i="3" s="1"/>
  <c r="U14" i="3"/>
  <c r="U19" i="3"/>
  <c r="I60" i="3"/>
  <c r="J35" i="3"/>
  <c r="H28" i="3" l="1"/>
  <c r="T13" i="3"/>
  <c r="I27" i="3"/>
  <c r="K29" i="7"/>
  <c r="K31" i="7" s="1"/>
  <c r="K32" i="7" s="1"/>
  <c r="K23" i="7"/>
  <c r="K26" i="7"/>
  <c r="V18" i="3" s="1"/>
  <c r="T20" i="3" l="1"/>
  <c r="T5" i="3"/>
  <c r="T9" i="3" s="1"/>
  <c r="H64" i="3"/>
  <c r="I28" i="3"/>
  <c r="U13" i="3"/>
  <c r="J39" i="3"/>
  <c r="K41" i="7"/>
  <c r="G3" i="9" s="1"/>
  <c r="J50" i="3" l="1"/>
  <c r="J51" i="3" s="1"/>
  <c r="V6" i="3" s="1"/>
  <c r="G7" i="9"/>
  <c r="G9" i="9" s="1"/>
  <c r="U5" i="3"/>
  <c r="U9" i="3" s="1"/>
  <c r="U20" i="3"/>
  <c r="I64" i="3"/>
  <c r="K45" i="7"/>
  <c r="M4" i="4" s="1"/>
  <c r="J57" i="3"/>
  <c r="J59" i="3" s="1"/>
  <c r="G18" i="9" l="1"/>
  <c r="J26" i="3" s="1"/>
  <c r="J27" i="3" s="1"/>
  <c r="J28" i="3" s="1"/>
  <c r="F4" i="6"/>
  <c r="M5" i="4"/>
  <c r="M19" i="4" s="1"/>
  <c r="M22" i="4" s="1"/>
  <c r="C32" i="4" s="1"/>
  <c r="C34" i="4" s="1"/>
  <c r="V14" i="3"/>
  <c r="V7" i="3"/>
  <c r="V8" i="3" s="1"/>
  <c r="J60" i="3"/>
  <c r="V19" i="3"/>
  <c r="T30" i="4" l="1"/>
  <c r="V13" i="3"/>
  <c r="M14" i="4"/>
  <c r="M15" i="4" s="1"/>
  <c r="J64" i="3"/>
  <c r="M20" i="4"/>
  <c r="M9" i="4"/>
  <c r="M10" i="4" s="1"/>
  <c r="V5" i="3"/>
  <c r="V9" i="3" s="1"/>
  <c r="V20" i="3"/>
  <c r="E32" i="4" l="1"/>
  <c r="E34" i="4"/>
</calcChain>
</file>

<file path=xl/sharedStrings.xml><?xml version="1.0" encoding="utf-8"?>
<sst xmlns="http://schemas.openxmlformats.org/spreadsheetml/2006/main" count="387" uniqueCount="218">
  <si>
    <t>Ordinary Share number</t>
  </si>
  <si>
    <t>Q1</t>
  </si>
  <si>
    <t>Q2</t>
  </si>
  <si>
    <t>Q3</t>
  </si>
  <si>
    <t>Q4</t>
  </si>
  <si>
    <t>Sum</t>
  </si>
  <si>
    <t xml:space="preserve">2022 F </t>
  </si>
  <si>
    <t>2023 F</t>
  </si>
  <si>
    <t>2024 F</t>
  </si>
  <si>
    <t>2025 F</t>
  </si>
  <si>
    <t>Year</t>
  </si>
  <si>
    <t>Quarter</t>
  </si>
  <si>
    <t>Revenue</t>
  </si>
  <si>
    <t>Business unit 2: Business</t>
  </si>
  <si>
    <t>Alternative revenue per geographical segment</t>
  </si>
  <si>
    <t>Business unit 1: Personal</t>
  </si>
  <si>
    <t>* = number linked to other sheet</t>
  </si>
  <si>
    <t>* = number linked to other cell</t>
  </si>
  <si>
    <t>* = number has been hardcopied</t>
  </si>
  <si>
    <r>
      <t xml:space="preserve">in </t>
    </r>
    <r>
      <rPr>
        <sz val="11"/>
        <color theme="1"/>
        <rFont val="Calibri"/>
        <family val="2"/>
      </rPr>
      <t>£</t>
    </r>
    <r>
      <rPr>
        <i/>
        <sz val="11"/>
        <color theme="1"/>
        <rFont val="Calibri"/>
        <family val="2"/>
      </rPr>
      <t>mln</t>
    </r>
  </si>
  <si>
    <t>Wise Business started in 2017</t>
  </si>
  <si>
    <t>Wise Personal started in 2011</t>
  </si>
  <si>
    <t>Customers</t>
  </si>
  <si>
    <t>-</t>
  </si>
  <si>
    <t>Total</t>
  </si>
  <si>
    <t>Q.O.Q.</t>
  </si>
  <si>
    <t>Y.O.Y.</t>
  </si>
  <si>
    <t>Cost of Sales</t>
  </si>
  <si>
    <t>Net credit losses on financial assets</t>
  </si>
  <si>
    <t>Gross Profit</t>
  </si>
  <si>
    <t>Administrative expenses</t>
  </si>
  <si>
    <t>Interest income from investments and operating assets</t>
  </si>
  <si>
    <t>Interest expense from operating assets</t>
  </si>
  <si>
    <t>Other income</t>
  </si>
  <si>
    <t>Operating profit</t>
  </si>
  <si>
    <t>Finance expense</t>
  </si>
  <si>
    <t>Profit for the year</t>
  </si>
  <si>
    <t>Other comprehensive income</t>
  </si>
  <si>
    <t>Items that may be reclassified to profit or loss</t>
  </si>
  <si>
    <t>Fair value (loss)/gain on investments</t>
  </si>
  <si>
    <t>Currency translation differences</t>
  </si>
  <si>
    <t>Total other comprehensive (loss)/income</t>
  </si>
  <si>
    <t>Total comprehensive income for the year</t>
  </si>
  <si>
    <t>YOY Change</t>
  </si>
  <si>
    <t>% of sales</t>
  </si>
  <si>
    <t>Gross profit margin</t>
  </si>
  <si>
    <t>Total expenses</t>
  </si>
  <si>
    <t>operating profit ratio</t>
  </si>
  <si>
    <t>2022F</t>
  </si>
  <si>
    <t>2023F</t>
  </si>
  <si>
    <t>2024F</t>
  </si>
  <si>
    <t>2025F</t>
  </si>
  <si>
    <t>Profit before tax</t>
  </si>
  <si>
    <t>Income tax expense</t>
  </si>
  <si>
    <t>Earning per share</t>
  </si>
  <si>
    <t>Tax rate</t>
  </si>
  <si>
    <t>Total assets</t>
  </si>
  <si>
    <t>Total liabilities</t>
  </si>
  <si>
    <t>Total equity</t>
  </si>
  <si>
    <t>Total liabilities and equity</t>
  </si>
  <si>
    <t>Non current assets</t>
  </si>
  <si>
    <t>Deffered tax assets</t>
  </si>
  <si>
    <t>Property, plant and equipment</t>
  </si>
  <si>
    <t>Intangible assets</t>
  </si>
  <si>
    <t>Trade and other receivables</t>
  </si>
  <si>
    <t>Total non-current assets</t>
  </si>
  <si>
    <t>Current assets</t>
  </si>
  <si>
    <t>Current tax assets</t>
  </si>
  <si>
    <t>Short-term financial investments</t>
  </si>
  <si>
    <t>Cash and cash equivalents</t>
  </si>
  <si>
    <t>Total current assets</t>
  </si>
  <si>
    <t>Non current liabilities</t>
  </si>
  <si>
    <t>Deffered tax liabilities</t>
  </si>
  <si>
    <t>Borrowings</t>
  </si>
  <si>
    <t>Trade and other payables</t>
  </si>
  <si>
    <t>Current liabilities</t>
  </si>
  <si>
    <t>Current tax liabilities</t>
  </si>
  <si>
    <t>Total current liabilities</t>
  </si>
  <si>
    <t>Equity</t>
  </si>
  <si>
    <t>Share capital</t>
  </si>
  <si>
    <t>Share capital and share premium</t>
  </si>
  <si>
    <t>Share-based payment reserves</t>
  </si>
  <si>
    <t>Other reserves</t>
  </si>
  <si>
    <t>Retained earnings</t>
  </si>
  <si>
    <t>Total shares</t>
  </si>
  <si>
    <t>Does liabilities + equity = assets</t>
  </si>
  <si>
    <t>WISE Prospectus</t>
  </si>
  <si>
    <t>Sources</t>
  </si>
  <si>
    <t>Capex</t>
  </si>
  <si>
    <t>Depreciation</t>
  </si>
  <si>
    <t>% of revenue</t>
  </si>
  <si>
    <t>% of tax</t>
  </si>
  <si>
    <t>Assumptions</t>
  </si>
  <si>
    <t>Given that Transferwise is scaling, revenue growth is presented at a decelerating scale.</t>
  </si>
  <si>
    <t>Transferwise operates in an industry of scale (one 1% extra transactions does not 1% increase in costs)</t>
  </si>
  <si>
    <t>Therefore costs are often portrayed as decreasing slightly over time</t>
  </si>
  <si>
    <t>Revenue has been used as a leading factor in how the model is shaped</t>
  </si>
  <si>
    <t>Valuation has been done on three techniques</t>
  </si>
  <si>
    <t>Price Earnings Ratio</t>
  </si>
  <si>
    <t>Discounted Cashflow method</t>
  </si>
  <si>
    <t>Revenue growth valuation</t>
  </si>
  <si>
    <t>* although all three are treated equally - revenue growth valuation appears most appropriate for a scaling company such as WISE</t>
  </si>
  <si>
    <t>Net income</t>
  </si>
  <si>
    <t>Financing activities</t>
  </si>
  <si>
    <t>Free cash flow</t>
  </si>
  <si>
    <t>Average weighted cost of capital</t>
  </si>
  <si>
    <t>Beta</t>
  </si>
  <si>
    <t>Capital structure</t>
  </si>
  <si>
    <t>Debt</t>
  </si>
  <si>
    <t>Cost of equity</t>
  </si>
  <si>
    <t>Risk free rate</t>
  </si>
  <si>
    <t>Stock Market Return</t>
  </si>
  <si>
    <t>Cost of debt</t>
  </si>
  <si>
    <t xml:space="preserve">NPV = </t>
  </si>
  <si>
    <t>Terminal value</t>
  </si>
  <si>
    <t>Long term growth</t>
  </si>
  <si>
    <t>TV discounted</t>
  </si>
  <si>
    <t>Target firm value</t>
  </si>
  <si>
    <t>Target equity value</t>
  </si>
  <si>
    <t>Less debt</t>
  </si>
  <si>
    <t>Target value</t>
  </si>
  <si>
    <t>Shares</t>
  </si>
  <si>
    <t>Target per share</t>
  </si>
  <si>
    <t>Sensitivity analysis</t>
  </si>
  <si>
    <t>P/R</t>
  </si>
  <si>
    <t>Yearly growth %</t>
  </si>
  <si>
    <t>Bullish</t>
  </si>
  <si>
    <t>10x's revenue</t>
  </si>
  <si>
    <t>Price target</t>
  </si>
  <si>
    <t>5x's revenue</t>
  </si>
  <si>
    <t>7.5x's revenue</t>
  </si>
  <si>
    <t>Discount 2025 price target to today target price</t>
  </si>
  <si>
    <t>Bullish Case</t>
  </si>
  <si>
    <t>Bearish Case</t>
  </si>
  <si>
    <t>Just Right Case</t>
  </si>
  <si>
    <t>DCF Valuation price per share target</t>
  </si>
  <si>
    <t>EPS</t>
  </si>
  <si>
    <t>P/E</t>
  </si>
  <si>
    <t>Yearly growth</t>
  </si>
  <si>
    <t>2x PEG that year</t>
  </si>
  <si>
    <t>Bearish</t>
  </si>
  <si>
    <t>1x PEG that year</t>
  </si>
  <si>
    <t>1.5 PEG that year</t>
  </si>
  <si>
    <t xml:space="preserve">Bearish </t>
  </si>
  <si>
    <t>Just right</t>
  </si>
  <si>
    <t>Discount 2025 Price target to tday target price</t>
  </si>
  <si>
    <t>Bottom line</t>
  </si>
  <si>
    <t>% to target</t>
  </si>
  <si>
    <t>Valutation P/R</t>
  </si>
  <si>
    <t>Valuation P/E</t>
  </si>
  <si>
    <t>Valuation DCF</t>
  </si>
  <si>
    <t>Average of all</t>
  </si>
  <si>
    <t>Market cap today</t>
  </si>
  <si>
    <t>Stock price today</t>
  </si>
  <si>
    <t>GBP</t>
  </si>
  <si>
    <t># of shares @ £0.01</t>
  </si>
  <si>
    <t>Revenue by geographical region</t>
  </si>
  <si>
    <t>Europe</t>
  </si>
  <si>
    <t>United Kingdom</t>
  </si>
  <si>
    <t>Asia-Pacific</t>
  </si>
  <si>
    <t>North America</t>
  </si>
  <si>
    <t>Rest of world</t>
  </si>
  <si>
    <t>Y.O.Y. growth</t>
  </si>
  <si>
    <t>a</t>
  </si>
  <si>
    <t>Income Statement from 2019 to 2025 (forcasted)</t>
  </si>
  <si>
    <t>Gross margin ratio</t>
  </si>
  <si>
    <t>Operating margin ratio</t>
  </si>
  <si>
    <t>Return on assets ratio</t>
  </si>
  <si>
    <t>Return on equity ratio</t>
  </si>
  <si>
    <t>Divident yield ratio</t>
  </si>
  <si>
    <t>Selected consilidated statement of Financial position</t>
  </si>
  <si>
    <t>* employee benefit expense</t>
  </si>
  <si>
    <t>*  outsourced services and other administrative costs</t>
  </si>
  <si>
    <t>* Depreciation and mortization</t>
  </si>
  <si>
    <t>* Less: Capitalisation of staff costs</t>
  </si>
  <si>
    <t>Outstanding money transmission liabilities and other customer payables</t>
  </si>
  <si>
    <t>Wise accounts</t>
  </si>
  <si>
    <t>Accrued expenses</t>
  </si>
  <si>
    <t>Deferred revenue</t>
  </si>
  <si>
    <t>Other payables</t>
  </si>
  <si>
    <t>% of value</t>
  </si>
  <si>
    <t>Accounts payables</t>
  </si>
  <si>
    <t>https://www.statista.com/statistics/885750/average-risk-free-rate-united-kingdom/</t>
  </si>
  <si>
    <t>Average weighted cost of debt</t>
  </si>
  <si>
    <t>Current ratio/Quick ratio</t>
  </si>
  <si>
    <t>Profitability ratios</t>
  </si>
  <si>
    <t>Price-earning ratio</t>
  </si>
  <si>
    <t>Earnings per share ratio</t>
  </si>
  <si>
    <t>Book value per share ratio</t>
  </si>
  <si>
    <t>Financial ratios</t>
  </si>
  <si>
    <t>Managerial ratios</t>
  </si>
  <si>
    <t>Equity to Debt ratio</t>
  </si>
  <si>
    <t>Increase in depreciation</t>
  </si>
  <si>
    <t>Increase in accounts receivable</t>
  </si>
  <si>
    <t>Increase in inventory</t>
  </si>
  <si>
    <t>Increase in Accounts payable</t>
  </si>
  <si>
    <t>% expenses - depreciation</t>
  </si>
  <si>
    <t>Net Cash From Operating activities</t>
  </si>
  <si>
    <t>Increase in Short Term debt</t>
  </si>
  <si>
    <t>Increase in Long Term debt</t>
  </si>
  <si>
    <t>Increase in Common Shares</t>
  </si>
  <si>
    <t>Net increase/decrease in cash</t>
  </si>
  <si>
    <t>Net cash from Financing activities</t>
  </si>
  <si>
    <t>Investing Activities</t>
  </si>
  <si>
    <t>Net cash from investing activies</t>
  </si>
  <si>
    <t>Marketcap (x1,000,000)</t>
  </si>
  <si>
    <t>Increase in outstanding Tax</t>
  </si>
  <si>
    <t>Total non-current liabilities</t>
  </si>
  <si>
    <t>%</t>
  </si>
  <si>
    <t>Cost</t>
  </si>
  <si>
    <t>W.A.C.C.</t>
  </si>
  <si>
    <t>Free cash flow (no WISE accounts)</t>
  </si>
  <si>
    <t>https://finance.yahoo.com/quote/WISE.L?p=WISE.L&amp;.tsrc=fin-srch</t>
  </si>
  <si>
    <t>Average cost of debt</t>
  </si>
  <si>
    <t>* given the complexity of the business I was unable to extend the cashflow statement from the example provided</t>
  </si>
  <si>
    <t>Valuation methodology 3/3: Dicounted Cashflow</t>
  </si>
  <si>
    <t>Valuation methodology 1/3: Price to revenue multiple valuation</t>
  </si>
  <si>
    <t>Valuation methodology 2/3: Price to Earning Multiple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</si>
</sst>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£&quot;#,##0.00;[Red]\-&quot;£&quot;#,##0.00"/>
    <numFmt numFmtId="43" formatCode="_-* #,##0.00_-;\-* #,##0.00_-;_-* &quot;-&quot;??_-;_-@_-"/>
    <numFmt numFmtId="164" formatCode="_-[$£-809]* #,##0.00_-;\-[$£-809]* #,##0.00_-;_-[$£-809]* &quot;-&quot;??_-;_-@_-"/>
    <numFmt numFmtId="165" formatCode="0.0"/>
    <numFmt numFmtId="166" formatCode="_-* #,##0_-;\-* #,##0_-;_-* &quot;-&quot;??_-;_-@_-"/>
    <numFmt numFmtId="167" formatCode="_-[$£-809]* #,##0.0_-;\-[$£-809]* #,##0.0_-;_-[$£-809]* &quot;-&quot;??_-;_-@_-"/>
    <numFmt numFmtId="168" formatCode="_-[$£-809]* #,##0_-;\-[$£-809]* #,##0_-;_-[$£-809]* &quot;-&quot;?_-;_-@_-"/>
    <numFmt numFmtId="169" formatCode="0.000%"/>
    <numFmt numFmtId="170" formatCode="_-[$£-809]* #,##0_-;\-[$£-809]* #,##0_-;_-[$£-809]* &quot;-&quot;??_-;_-@_-"/>
    <numFmt numFmtId="171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9" fontId="5" fillId="0" borderId="0" xfId="1" applyFont="1"/>
    <xf numFmtId="0" fontId="7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9" fontId="3" fillId="0" borderId="0" xfId="1" applyFont="1"/>
    <xf numFmtId="0" fontId="11" fillId="0" borderId="0" xfId="0" applyFont="1"/>
    <xf numFmtId="0" fontId="8" fillId="0" borderId="0" xfId="0" applyFont="1"/>
    <xf numFmtId="0" fontId="0" fillId="0" borderId="0" xfId="0" applyFont="1"/>
    <xf numFmtId="9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/>
    <xf numFmtId="165" fontId="7" fillId="0" borderId="0" xfId="0" applyNumberFormat="1" applyFont="1" applyBorder="1"/>
    <xf numFmtId="0" fontId="7" fillId="0" borderId="0" xfId="0" applyFont="1" applyBorder="1"/>
    <xf numFmtId="0" fontId="7" fillId="0" borderId="5" xfId="0" applyFont="1" applyBorder="1"/>
    <xf numFmtId="9" fontId="5" fillId="0" borderId="4" xfId="1" applyFont="1" applyBorder="1"/>
    <xf numFmtId="9" fontId="5" fillId="0" borderId="0" xfId="1" applyFont="1" applyBorder="1"/>
    <xf numFmtId="9" fontId="5" fillId="0" borderId="5" xfId="1" applyFont="1" applyBorder="1"/>
    <xf numFmtId="0" fontId="0" fillId="0" borderId="5" xfId="0" applyBorder="1"/>
    <xf numFmtId="0" fontId="7" fillId="0" borderId="4" xfId="0" applyFont="1" applyBorder="1"/>
    <xf numFmtId="9" fontId="6" fillId="0" borderId="0" xfId="1" applyFont="1" applyBorder="1"/>
    <xf numFmtId="9" fontId="0" fillId="0" borderId="0" xfId="1" applyFont="1" applyBorder="1"/>
    <xf numFmtId="9" fontId="0" fillId="0" borderId="5" xfId="1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0" fillId="0" borderId="8" xfId="0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5" fontId="7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4" xfId="0" applyFont="1" applyBorder="1"/>
    <xf numFmtId="0" fontId="7" fillId="0" borderId="3" xfId="0" applyFont="1" applyBorder="1"/>
    <xf numFmtId="0" fontId="7" fillId="0" borderId="8" xfId="0" applyFont="1" applyBorder="1"/>
    <xf numFmtId="9" fontId="7" fillId="0" borderId="5" xfId="1" applyFont="1" applyBorder="1"/>
    <xf numFmtId="9" fontId="10" fillId="0" borderId="0" xfId="1" applyFont="1" applyBorder="1"/>
    <xf numFmtId="9" fontId="10" fillId="0" borderId="5" xfId="1" applyFont="1" applyBorder="1"/>
    <xf numFmtId="9" fontId="10" fillId="0" borderId="4" xfId="1" applyFont="1" applyBorder="1"/>
    <xf numFmtId="0" fontId="8" fillId="0" borderId="1" xfId="0" applyFont="1" applyBorder="1"/>
    <xf numFmtId="0" fontId="8" fillId="0" borderId="4" xfId="0" applyFont="1" applyBorder="1"/>
    <xf numFmtId="0" fontId="11" fillId="0" borderId="4" xfId="0" applyFont="1" applyBorder="1"/>
    <xf numFmtId="0" fontId="0" fillId="0" borderId="0" xfId="0" applyFont="1" applyBorder="1"/>
    <xf numFmtId="0" fontId="8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0" xfId="0" applyNumberFormat="1"/>
    <xf numFmtId="9" fontId="0" fillId="0" borderId="0" xfId="0" applyNumberFormat="1" applyBorder="1"/>
    <xf numFmtId="9" fontId="0" fillId="0" borderId="5" xfId="0" applyNumberForma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7" fontId="8" fillId="0" borderId="4" xfId="0" applyNumberFormat="1" applyFont="1" applyBorder="1"/>
    <xf numFmtId="167" fontId="0" fillId="0" borderId="0" xfId="0" applyNumberFormat="1" applyBorder="1"/>
    <xf numFmtId="167" fontId="6" fillId="0" borderId="10" xfId="0" applyNumberFormat="1" applyFont="1" applyBorder="1"/>
    <xf numFmtId="167" fontId="6" fillId="0" borderId="5" xfId="0" applyNumberFormat="1" applyFont="1" applyBorder="1"/>
    <xf numFmtId="167" fontId="0" fillId="0" borderId="0" xfId="0" applyNumberFormat="1"/>
    <xf numFmtId="167" fontId="3" fillId="0" borderId="0" xfId="0" applyNumberFormat="1" applyFont="1" applyBorder="1"/>
    <xf numFmtId="167" fontId="9" fillId="0" borderId="5" xfId="0" applyNumberFormat="1" applyFont="1" applyBorder="1"/>
    <xf numFmtId="167" fontId="0" fillId="0" borderId="5" xfId="0" applyNumberFormat="1" applyBorder="1"/>
    <xf numFmtId="167" fontId="11" fillId="0" borderId="4" xfId="0" applyNumberFormat="1" applyFont="1" applyBorder="1"/>
    <xf numFmtId="167" fontId="3" fillId="0" borderId="10" xfId="0" applyNumberFormat="1" applyFont="1" applyBorder="1"/>
    <xf numFmtId="167" fontId="3" fillId="0" borderId="5" xfId="0" applyNumberFormat="1" applyFont="1" applyBorder="1"/>
    <xf numFmtId="167" fontId="3" fillId="0" borderId="0" xfId="0" applyNumberFormat="1" applyFont="1"/>
    <xf numFmtId="167" fontId="7" fillId="0" borderId="5" xfId="0" applyNumberFormat="1" applyFont="1" applyBorder="1"/>
    <xf numFmtId="167" fontId="0" fillId="0" borderId="10" xfId="0" applyNumberFormat="1" applyBorder="1"/>
    <xf numFmtId="167" fontId="8" fillId="0" borderId="0" xfId="0" applyNumberFormat="1" applyFont="1"/>
    <xf numFmtId="43" fontId="0" fillId="0" borderId="0" xfId="2" applyFont="1"/>
    <xf numFmtId="0" fontId="8" fillId="0" borderId="3" xfId="0" applyFont="1" applyBorder="1"/>
    <xf numFmtId="0" fontId="8" fillId="0" borderId="0" xfId="0" applyFont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9" fontId="13" fillId="0" borderId="4" xfId="1" applyFont="1" applyBorder="1"/>
    <xf numFmtId="9" fontId="13" fillId="0" borderId="5" xfId="1" applyFont="1" applyBorder="1"/>
    <xf numFmtId="0" fontId="8" fillId="0" borderId="8" xfId="0" applyFont="1" applyBorder="1"/>
    <xf numFmtId="0" fontId="12" fillId="0" borderId="4" xfId="0" applyFont="1" applyBorder="1"/>
    <xf numFmtId="9" fontId="8" fillId="0" borderId="4" xfId="1" applyFont="1" applyBorder="1"/>
    <xf numFmtId="0" fontId="8" fillId="5" borderId="4" xfId="0" applyFont="1" applyFill="1" applyBorder="1"/>
    <xf numFmtId="0" fontId="8" fillId="5" borderId="0" xfId="0" applyFont="1" applyFill="1" applyBorder="1"/>
    <xf numFmtId="0" fontId="8" fillId="5" borderId="5" xfId="0" applyFont="1" applyFill="1" applyBorder="1"/>
    <xf numFmtId="0" fontId="12" fillId="5" borderId="5" xfId="0" applyFont="1" applyFill="1" applyBorder="1"/>
    <xf numFmtId="0" fontId="5" fillId="0" borderId="0" xfId="0" applyFont="1"/>
    <xf numFmtId="0" fontId="3" fillId="0" borderId="15" xfId="0" applyFont="1" applyBorder="1"/>
    <xf numFmtId="9" fontId="5" fillId="0" borderId="15" xfId="1" applyFont="1" applyBorder="1"/>
    <xf numFmtId="9" fontId="5" fillId="0" borderId="16" xfId="1" applyFont="1" applyBorder="1"/>
    <xf numFmtId="0" fontId="3" fillId="0" borderId="6" xfId="0" applyFont="1" applyBorder="1"/>
    <xf numFmtId="0" fontId="3" fillId="0" borderId="7" xfId="0" applyFont="1" applyBorder="1"/>
    <xf numFmtId="9" fontId="5" fillId="0" borderId="7" xfId="1" applyFont="1" applyBorder="1"/>
    <xf numFmtId="9" fontId="5" fillId="0" borderId="8" xfId="1" applyFont="1" applyBorder="1"/>
    <xf numFmtId="0" fontId="3" fillId="0" borderId="8" xfId="0" applyFont="1" applyBorder="1"/>
    <xf numFmtId="167" fontId="6" fillId="0" borderId="0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9" fontId="3" fillId="0" borderId="4" xfId="1" applyFont="1" applyBorder="1"/>
    <xf numFmtId="9" fontId="3" fillId="0" borderId="5" xfId="1" applyFont="1" applyBorder="1"/>
    <xf numFmtId="164" fontId="0" fillId="0" borderId="6" xfId="0" applyNumberFormat="1" applyBorder="1"/>
    <xf numFmtId="164" fontId="0" fillId="0" borderId="8" xfId="0" applyNumberFormat="1" applyBorder="1"/>
    <xf numFmtId="0" fontId="10" fillId="0" borderId="4" xfId="0" applyFont="1" applyBorder="1"/>
    <xf numFmtId="9" fontId="3" fillId="0" borderId="0" xfId="1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4" fontId="6" fillId="0" borderId="5" xfId="0" applyNumberFormat="1" applyFont="1" applyBorder="1"/>
    <xf numFmtId="9" fontId="3" fillId="0" borderId="4" xfId="1" applyNumberFormat="1" applyFont="1" applyBorder="1"/>
    <xf numFmtId="9" fontId="3" fillId="0" borderId="0" xfId="1" applyNumberFormat="1" applyFont="1" applyBorder="1"/>
    <xf numFmtId="9" fontId="10" fillId="0" borderId="0" xfId="0" applyNumberFormat="1" applyFont="1" applyBorder="1"/>
    <xf numFmtId="9" fontId="10" fillId="0" borderId="5" xfId="0" applyNumberFormat="1" applyFont="1" applyBorder="1"/>
    <xf numFmtId="164" fontId="0" fillId="0" borderId="7" xfId="0" applyNumberFormat="1" applyBorder="1"/>
    <xf numFmtId="0" fontId="7" fillId="0" borderId="1" xfId="0" applyFont="1" applyBorder="1"/>
    <xf numFmtId="0" fontId="7" fillId="0" borderId="2" xfId="0" applyFont="1" applyBorder="1"/>
    <xf numFmtId="166" fontId="6" fillId="0" borderId="2" xfId="2" applyNumberFormat="1" applyFont="1" applyBorder="1"/>
    <xf numFmtId="166" fontId="6" fillId="0" borderId="3" xfId="2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11" xfId="0" applyFont="1" applyBorder="1"/>
    <xf numFmtId="167" fontId="11" fillId="0" borderId="6" xfId="0" applyNumberFormat="1" applyFont="1" applyBorder="1"/>
    <xf numFmtId="167" fontId="11" fillId="0" borderId="0" xfId="0" applyNumberFormat="1" applyFont="1" applyBorder="1"/>
    <xf numFmtId="167" fontId="11" fillId="0" borderId="10" xfId="0" applyNumberFormat="1" applyFont="1" applyBorder="1"/>
    <xf numFmtId="167" fontId="11" fillId="0" borderId="5" xfId="0" applyNumberFormat="1" applyFont="1" applyBorder="1"/>
    <xf numFmtId="167" fontId="11" fillId="0" borderId="0" xfId="0" applyNumberFormat="1" applyFont="1"/>
    <xf numFmtId="167" fontId="11" fillId="0" borderId="7" xfId="0" applyNumberFormat="1" applyFont="1" applyBorder="1"/>
    <xf numFmtId="167" fontId="11" fillId="0" borderId="11" xfId="0" applyNumberFormat="1" applyFont="1" applyBorder="1"/>
    <xf numFmtId="167" fontId="11" fillId="0" borderId="8" xfId="0" applyNumberFormat="1" applyFont="1" applyBorder="1"/>
    <xf numFmtId="167" fontId="8" fillId="0" borderId="0" xfId="0" applyNumberFormat="1" applyFont="1" applyBorder="1"/>
    <xf numFmtId="167" fontId="8" fillId="0" borderId="10" xfId="0" applyNumberFormat="1" applyFont="1" applyBorder="1"/>
    <xf numFmtId="167" fontId="8" fillId="0" borderId="5" xfId="0" applyNumberFormat="1" applyFont="1" applyBorder="1"/>
    <xf numFmtId="0" fontId="11" fillId="0" borderId="0" xfId="0" applyFont="1" applyBorder="1"/>
    <xf numFmtId="167" fontId="7" fillId="0" borderId="10" xfId="1" applyNumberFormat="1" applyFont="1" applyBorder="1"/>
    <xf numFmtId="167" fontId="7" fillId="0" borderId="5" xfId="1" applyNumberFormat="1" applyFont="1" applyBorder="1"/>
    <xf numFmtId="167" fontId="6" fillId="0" borderId="5" xfId="1" applyNumberFormat="1" applyFont="1" applyBorder="1"/>
    <xf numFmtId="167" fontId="5" fillId="0" borderId="10" xfId="1" applyNumberFormat="1" applyFont="1" applyBorder="1"/>
    <xf numFmtId="167" fontId="5" fillId="0" borderId="5" xfId="1" applyNumberFormat="1" applyFont="1" applyBorder="1"/>
    <xf numFmtId="167" fontId="10" fillId="0" borderId="5" xfId="1" applyNumberFormat="1" applyFont="1" applyBorder="1"/>
    <xf numFmtId="167" fontId="0" fillId="0" borderId="10" xfId="0" applyNumberFormat="1" applyFont="1" applyBorder="1"/>
    <xf numFmtId="167" fontId="0" fillId="0" borderId="5" xfId="0" applyNumberFormat="1" applyFont="1" applyBorder="1"/>
    <xf numFmtId="167" fontId="1" fillId="0" borderId="10" xfId="1" applyNumberFormat="1" applyFont="1" applyBorder="1"/>
    <xf numFmtId="167" fontId="1" fillId="0" borderId="5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9" fontId="7" fillId="0" borderId="10" xfId="1" applyFont="1" applyBorder="1"/>
    <xf numFmtId="9" fontId="6" fillId="0" borderId="5" xfId="1" applyFont="1" applyBorder="1"/>
    <xf numFmtId="9" fontId="0" fillId="0" borderId="10" xfId="1" applyFont="1" applyBorder="1"/>
    <xf numFmtId="164" fontId="8" fillId="0" borderId="0" xfId="0" applyNumberFormat="1" applyFont="1"/>
    <xf numFmtId="164" fontId="0" fillId="0" borderId="0" xfId="0" applyNumberFormat="1" applyFont="1"/>
    <xf numFmtId="164" fontId="7" fillId="0" borderId="4" xfId="0" applyNumberFormat="1" applyFont="1" applyBorder="1"/>
    <xf numFmtId="164" fontId="7" fillId="0" borderId="0" xfId="0" applyNumberFormat="1" applyFont="1" applyBorder="1"/>
    <xf numFmtId="167" fontId="3" fillId="0" borderId="0" xfId="0" applyNumberFormat="1" applyFont="1" applyFill="1" applyBorder="1"/>
    <xf numFmtId="167" fontId="12" fillId="0" borderId="5" xfId="0" applyNumberFormat="1" applyFont="1" applyBorder="1"/>
    <xf numFmtId="167" fontId="0" fillId="0" borderId="5" xfId="0" applyNumberFormat="1" applyFill="1" applyBorder="1"/>
    <xf numFmtId="167" fontId="6" fillId="0" borderId="10" xfId="0" applyNumberFormat="1" applyFont="1" applyFill="1" applyBorder="1"/>
    <xf numFmtId="167" fontId="6" fillId="0" borderId="5" xfId="0" applyNumberFormat="1" applyFont="1" applyFill="1" applyBorder="1"/>
    <xf numFmtId="167" fontId="7" fillId="0" borderId="5" xfId="0" applyNumberFormat="1" applyFont="1" applyFill="1" applyBorder="1"/>
    <xf numFmtId="9" fontId="6" fillId="0" borderId="5" xfId="1" applyFont="1" applyFill="1" applyBorder="1"/>
    <xf numFmtId="9" fontId="7" fillId="0" borderId="10" xfId="1" applyFont="1" applyFill="1" applyBorder="1"/>
    <xf numFmtId="168" fontId="0" fillId="0" borderId="0" xfId="0" applyNumberFormat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164" fontId="7" fillId="0" borderId="5" xfId="0" applyNumberFormat="1" applyFont="1" applyBorder="1"/>
    <xf numFmtId="8" fontId="0" fillId="0" borderId="14" xfId="0" applyNumberFormat="1" applyBorder="1"/>
    <xf numFmtId="0" fontId="0" fillId="0" borderId="2" xfId="0" applyFont="1" applyBorder="1"/>
    <xf numFmtId="0" fontId="0" fillId="0" borderId="3" xfId="0" applyFont="1" applyBorder="1"/>
    <xf numFmtId="164" fontId="0" fillId="0" borderId="0" xfId="0" applyNumberFormat="1" applyFont="1" applyBorder="1"/>
    <xf numFmtId="164" fontId="0" fillId="0" borderId="5" xfId="0" applyNumberFormat="1" applyFont="1" applyBorder="1"/>
    <xf numFmtId="167" fontId="0" fillId="0" borderId="4" xfId="0" applyNumberFormat="1" applyFont="1" applyBorder="1"/>
    <xf numFmtId="167" fontId="0" fillId="0" borderId="6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167" fontId="0" fillId="0" borderId="11" xfId="0" applyNumberFormat="1" applyFont="1" applyBorder="1"/>
    <xf numFmtId="0" fontId="0" fillId="0" borderId="11" xfId="0" applyFont="1" applyBorder="1"/>
    <xf numFmtId="9" fontId="11" fillId="0" borderId="0" xfId="1" applyFont="1"/>
    <xf numFmtId="167" fontId="8" fillId="0" borderId="1" xfId="0" applyNumberFormat="1" applyFont="1" applyBorder="1"/>
    <xf numFmtId="167" fontId="0" fillId="0" borderId="2" xfId="0" applyNumberFormat="1" applyBorder="1"/>
    <xf numFmtId="9" fontId="0" fillId="0" borderId="3" xfId="1" applyFont="1" applyBorder="1"/>
    <xf numFmtId="167" fontId="0" fillId="0" borderId="7" xfId="0" applyNumberFormat="1" applyBorder="1"/>
    <xf numFmtId="43" fontId="14" fillId="0" borderId="0" xfId="2" applyFont="1" applyBorder="1"/>
    <xf numFmtId="0" fontId="0" fillId="0" borderId="0" xfId="1" applyNumberFormat="1" applyFont="1" applyBorder="1"/>
    <xf numFmtId="9" fontId="0" fillId="0" borderId="2" xfId="1" applyFont="1" applyBorder="1"/>
    <xf numFmtId="167" fontId="0" fillId="0" borderId="3" xfId="0" applyNumberFormat="1" applyBorder="1"/>
    <xf numFmtId="9" fontId="0" fillId="0" borderId="7" xfId="1" applyFont="1" applyBorder="1"/>
    <xf numFmtId="164" fontId="0" fillId="0" borderId="7" xfId="1" applyNumberFormat="1" applyFont="1" applyBorder="1"/>
    <xf numFmtId="9" fontId="0" fillId="0" borderId="8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11" fillId="0" borderId="7" xfId="0" applyFont="1" applyBorder="1"/>
    <xf numFmtId="9" fontId="11" fillId="0" borderId="7" xfId="1" applyFont="1" applyBorder="1"/>
    <xf numFmtId="9" fontId="11" fillId="0" borderId="8" xfId="1" applyFont="1" applyBorder="1"/>
    <xf numFmtId="167" fontId="0" fillId="0" borderId="9" xfId="0" applyNumberFormat="1" applyBorder="1"/>
    <xf numFmtId="167" fontId="0" fillId="0" borderId="10" xfId="0" applyNumberFormat="1" applyBorder="1" applyAlignment="1">
      <alignment horizontal="left"/>
    </xf>
    <xf numFmtId="167" fontId="0" fillId="0" borderId="11" xfId="0" applyNumberFormat="1" applyBorder="1"/>
    <xf numFmtId="164" fontId="16" fillId="0" borderId="0" xfId="1" applyNumberFormat="1" applyFont="1" applyBorder="1"/>
    <xf numFmtId="164" fontId="5" fillId="0" borderId="0" xfId="1" applyNumberFormat="1" applyFont="1" applyBorder="1"/>
    <xf numFmtId="164" fontId="16" fillId="0" borderId="5" xfId="1" applyNumberFormat="1" applyFont="1" applyBorder="1"/>
    <xf numFmtId="9" fontId="10" fillId="0" borderId="0" xfId="1" applyNumberFormat="1" applyFont="1" applyBorder="1"/>
    <xf numFmtId="164" fontId="5" fillId="0" borderId="5" xfId="1" applyNumberFormat="1" applyFont="1" applyBorder="1"/>
    <xf numFmtId="9" fontId="10" fillId="0" borderId="5" xfId="1" applyNumberFormat="1" applyFont="1" applyBorder="1"/>
    <xf numFmtId="0" fontId="8" fillId="0" borderId="2" xfId="0" applyFont="1" applyBorder="1"/>
    <xf numFmtId="164" fontId="9" fillId="0" borderId="0" xfId="0" applyNumberFormat="1" applyFont="1" applyBorder="1"/>
    <xf numFmtId="164" fontId="9" fillId="0" borderId="5" xfId="0" applyNumberFormat="1" applyFont="1" applyBorder="1"/>
    <xf numFmtId="164" fontId="8" fillId="0" borderId="0" xfId="0" applyNumberFormat="1" applyFont="1" applyBorder="1"/>
    <xf numFmtId="164" fontId="8" fillId="0" borderId="5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0" fontId="0" fillId="0" borderId="0" xfId="0" applyFill="1" applyBorder="1"/>
    <xf numFmtId="167" fontId="15" fillId="0" borderId="5" xfId="0" applyNumberFormat="1" applyFont="1" applyFill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0" fontId="0" fillId="0" borderId="6" xfId="1" applyNumberFormat="1" applyFont="1" applyBorder="1"/>
    <xf numFmtId="164" fontId="14" fillId="0" borderId="2" xfId="0" applyNumberFormat="1" applyFont="1" applyBorder="1"/>
    <xf numFmtId="164" fontId="14" fillId="0" borderId="3" xfId="0" applyNumberFormat="1" applyFont="1" applyBorder="1"/>
    <xf numFmtId="164" fontId="14" fillId="0" borderId="5" xfId="0" applyNumberFormat="1" applyFont="1" applyBorder="1"/>
    <xf numFmtId="164" fontId="14" fillId="0" borderId="8" xfId="0" applyNumberFormat="1" applyFont="1" applyBorder="1"/>
    <xf numFmtId="164" fontId="7" fillId="0" borderId="7" xfId="0" applyNumberFormat="1" applyFont="1" applyBorder="1"/>
    <xf numFmtId="0" fontId="0" fillId="0" borderId="12" xfId="0" applyBorder="1"/>
    <xf numFmtId="170" fontId="0" fillId="0" borderId="0" xfId="0" applyNumberFormat="1" applyBorder="1"/>
    <xf numFmtId="170" fontId="0" fillId="0" borderId="5" xfId="0" applyNumberFormat="1" applyBorder="1"/>
    <xf numFmtId="170" fontId="0" fillId="0" borderId="7" xfId="0" applyNumberFormat="1" applyBorder="1"/>
    <xf numFmtId="170" fontId="0" fillId="0" borderId="8" xfId="0" applyNumberFormat="1" applyBorder="1"/>
    <xf numFmtId="10" fontId="0" fillId="0" borderId="3" xfId="1" applyNumberFormat="1" applyFont="1" applyBorder="1"/>
    <xf numFmtId="169" fontId="0" fillId="0" borderId="8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166" fontId="0" fillId="0" borderId="5" xfId="2" applyNumberFormat="1" applyFont="1" applyBorder="1"/>
    <xf numFmtId="10" fontId="8" fillId="0" borderId="8" xfId="1" applyNumberFormat="1" applyFont="1" applyBorder="1"/>
    <xf numFmtId="164" fontId="8" fillId="0" borderId="14" xfId="0" applyNumberFormat="1" applyFont="1" applyBorder="1"/>
    <xf numFmtId="171" fontId="0" fillId="0" borderId="5" xfId="0" applyNumberFormat="1" applyBorder="1"/>
    <xf numFmtId="171" fontId="0" fillId="0" borderId="8" xfId="0" applyNumberFormat="1" applyBorder="1"/>
    <xf numFmtId="164" fontId="14" fillId="0" borderId="0" xfId="0" applyNumberFormat="1" applyFont="1" applyBorder="1"/>
    <xf numFmtId="171" fontId="0" fillId="0" borderId="0" xfId="1" applyNumberFormat="1" applyFont="1"/>
    <xf numFmtId="167" fontId="0" fillId="0" borderId="10" xfId="0" applyNumberFormat="1" applyFill="1" applyBorder="1"/>
    <xf numFmtId="0" fontId="18" fillId="0" borderId="0" xfId="0" applyFont="1"/>
    <xf numFmtId="164" fontId="18" fillId="0" borderId="0" xfId="0" applyNumberFormat="1" applyFont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43" fontId="0" fillId="0" borderId="7" xfId="2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164" fontId="17" fillId="0" borderId="0" xfId="0" applyNumberFormat="1" applyFont="1" applyBorder="1"/>
    <xf numFmtId="164" fontId="17" fillId="0" borderId="5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2" xfId="0" applyNumberFormat="1" applyBorder="1" applyAlignment="1"/>
    <xf numFmtId="164" fontId="0" fillId="0" borderId="0" xfId="0" applyNumberFormat="1" applyBorder="1" applyAlignment="1"/>
    <xf numFmtId="9" fontId="15" fillId="0" borderId="0" xfId="1" applyFont="1" applyBorder="1" applyAlignment="1"/>
    <xf numFmtId="9" fontId="15" fillId="0" borderId="5" xfId="1" applyFont="1" applyBorder="1" applyAlignment="1"/>
    <xf numFmtId="9" fontId="17" fillId="0" borderId="0" xfId="1" applyFont="1" applyBorder="1" applyAlignment="1"/>
    <xf numFmtId="9" fontId="17" fillId="0" borderId="5" xfId="1" applyFont="1" applyBorder="1" applyAlignment="1"/>
    <xf numFmtId="9" fontId="15" fillId="0" borderId="7" xfId="1" applyFont="1" applyBorder="1" applyAlignment="1"/>
    <xf numFmtId="9" fontId="15" fillId="0" borderId="8" xfId="1" applyFont="1" applyBorder="1" applyAlignment="1"/>
    <xf numFmtId="0" fontId="0" fillId="0" borderId="0" xfId="0" applyBorder="1" applyAlignment="1"/>
    <xf numFmtId="164" fontId="0" fillId="0" borderId="7" xfId="0" applyNumberFormat="1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89535</xdr:rowOff>
    </xdr:from>
    <xdr:to>
      <xdr:col>7</xdr:col>
      <xdr:colOff>585382</xdr:colOff>
      <xdr:row>61</xdr:row>
      <xdr:rowOff>45918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C4F01-1234-4649-84BD-D8AB77F23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728835"/>
          <a:ext cx="7805332" cy="140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0</xdr:row>
      <xdr:rowOff>175260</xdr:rowOff>
    </xdr:from>
    <xdr:to>
      <xdr:col>18</xdr:col>
      <xdr:colOff>266700</xdr:colOff>
      <xdr:row>25</xdr:row>
      <xdr:rowOff>169030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AE8E3-B244-43FC-A75B-7DF1A7336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8080" y="175260"/>
          <a:ext cx="5082540" cy="458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628F-3987-4E9B-A944-6E44745E052B}">
  <dimension ref="A3:D20"/>
  <sheetViews>
    <sheetView showGridLines="0" tabSelected="1" zoomScaleNormal="100" workbookViewId="0">
      <selection activeCell="P15" sqref="P15"/>
    </sheetView>
  </sheetViews>
  <sheetFormatPr defaultRowHeight="14.4" x14ac:dyDescent="0.3"/>
  <cols>
    <col min="4" max="4" width="26.33203125" customWidth="1"/>
  </cols>
  <sheetData>
    <row r="3" spans="1:4" x14ac:dyDescent="0.3">
      <c r="A3" s="6"/>
      <c r="C3" t="s">
        <v>17</v>
      </c>
    </row>
    <row r="5" spans="1:4" x14ac:dyDescent="0.3">
      <c r="A5" s="7"/>
      <c r="C5" t="s">
        <v>16</v>
      </c>
    </row>
    <row r="7" spans="1:4" x14ac:dyDescent="0.3">
      <c r="A7" s="8"/>
      <c r="C7" t="s">
        <v>18</v>
      </c>
    </row>
    <row r="9" spans="1:4" x14ac:dyDescent="0.3">
      <c r="A9" t="s">
        <v>87</v>
      </c>
      <c r="C9" t="s">
        <v>86</v>
      </c>
    </row>
    <row r="11" spans="1:4" x14ac:dyDescent="0.3">
      <c r="A11" t="s">
        <v>92</v>
      </c>
      <c r="C11" t="s">
        <v>96</v>
      </c>
    </row>
    <row r="12" spans="1:4" x14ac:dyDescent="0.3">
      <c r="C12" t="s">
        <v>93</v>
      </c>
    </row>
    <row r="13" spans="1:4" x14ac:dyDescent="0.3">
      <c r="C13" t="s">
        <v>94</v>
      </c>
    </row>
    <row r="14" spans="1:4" x14ac:dyDescent="0.3">
      <c r="D14" t="s">
        <v>95</v>
      </c>
    </row>
    <row r="16" spans="1:4" x14ac:dyDescent="0.3">
      <c r="C16" t="s">
        <v>97</v>
      </c>
    </row>
    <row r="17" spans="3:4" x14ac:dyDescent="0.3">
      <c r="D17" t="s">
        <v>98</v>
      </c>
    </row>
    <row r="18" spans="3:4" x14ac:dyDescent="0.3">
      <c r="D18" t="s">
        <v>99</v>
      </c>
    </row>
    <row r="19" spans="3:4" x14ac:dyDescent="0.3">
      <c r="D19" t="s">
        <v>100</v>
      </c>
    </row>
    <row r="20" spans="3:4" x14ac:dyDescent="0.3">
      <c r="C20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47"/>
  <sheetViews>
    <sheetView showGridLines="0" zoomScale="85" zoomScaleNormal="85" workbookViewId="0">
      <selection activeCell="W13" sqref="A13:W13"/>
    </sheetView>
  </sheetViews>
  <sheetFormatPr defaultRowHeight="14.4" x14ac:dyDescent="0.3"/>
  <cols>
    <col min="3" max="3" width="14.6640625" customWidth="1"/>
    <col min="4" max="4" width="6.44140625" customWidth="1"/>
    <col min="5" max="5" width="12.6640625" customWidth="1"/>
    <col min="6" max="8" width="10.5546875" bestFit="1" customWidth="1"/>
    <col min="10" max="10" width="2.44140625" customWidth="1"/>
    <col min="16" max="16" width="3.109375" customWidth="1"/>
    <col min="21" max="21" width="8.88671875" style="5"/>
    <col min="22" max="22" width="2.33203125" customWidth="1"/>
    <col min="28" max="28" width="2.44140625" customWidth="1"/>
    <col min="34" max="34" width="2" customWidth="1"/>
    <col min="40" max="40" width="2" customWidth="1"/>
  </cols>
  <sheetData>
    <row r="1" spans="2:45" ht="15" thickBot="1" x14ac:dyDescent="0.35"/>
    <row r="2" spans="2:45" x14ac:dyDescent="0.3">
      <c r="B2" s="49"/>
      <c r="C2" s="80" t="s">
        <v>10</v>
      </c>
      <c r="D2" s="81"/>
      <c r="E2" s="259">
        <v>2019</v>
      </c>
      <c r="F2" s="260"/>
      <c r="G2" s="260"/>
      <c r="H2" s="260"/>
      <c r="I2" s="261"/>
      <c r="J2" s="81"/>
      <c r="K2" s="259">
        <v>2020</v>
      </c>
      <c r="L2" s="260"/>
      <c r="M2" s="260"/>
      <c r="N2" s="260"/>
      <c r="O2" s="261"/>
      <c r="P2" s="81"/>
      <c r="Q2" s="259">
        <v>2021</v>
      </c>
      <c r="R2" s="260"/>
      <c r="S2" s="260"/>
      <c r="T2" s="260"/>
      <c r="U2" s="261"/>
      <c r="V2" s="2"/>
      <c r="W2" s="256" t="s">
        <v>6</v>
      </c>
      <c r="X2" s="257"/>
      <c r="Y2" s="257"/>
      <c r="Z2" s="257"/>
      <c r="AA2" s="258"/>
      <c r="AB2" s="2"/>
      <c r="AC2" s="256" t="s">
        <v>7</v>
      </c>
      <c r="AD2" s="257"/>
      <c r="AE2" s="257"/>
      <c r="AF2" s="257"/>
      <c r="AG2" s="258"/>
      <c r="AH2" s="2"/>
      <c r="AI2" s="256" t="s">
        <v>8</v>
      </c>
      <c r="AJ2" s="257"/>
      <c r="AK2" s="257"/>
      <c r="AL2" s="257"/>
      <c r="AM2" s="258"/>
      <c r="AN2" s="2"/>
      <c r="AO2" s="256" t="s">
        <v>9</v>
      </c>
      <c r="AP2" s="257"/>
      <c r="AQ2" s="257"/>
      <c r="AR2" s="257"/>
      <c r="AS2" s="258"/>
    </row>
    <row r="3" spans="2:45" x14ac:dyDescent="0.3">
      <c r="B3" s="50"/>
      <c r="C3" s="82" t="s">
        <v>11</v>
      </c>
      <c r="D3" s="11"/>
      <c r="E3" s="89" t="s">
        <v>1</v>
      </c>
      <c r="F3" s="90" t="s">
        <v>2</v>
      </c>
      <c r="G3" s="90" t="s">
        <v>3</v>
      </c>
      <c r="H3" s="90" t="s">
        <v>4</v>
      </c>
      <c r="I3" s="91" t="s">
        <v>5</v>
      </c>
      <c r="J3" s="11"/>
      <c r="K3" s="89" t="s">
        <v>1</v>
      </c>
      <c r="L3" s="90" t="s">
        <v>2</v>
      </c>
      <c r="M3" s="90" t="s">
        <v>3</v>
      </c>
      <c r="N3" s="90" t="s">
        <v>4</v>
      </c>
      <c r="O3" s="91" t="s">
        <v>5</v>
      </c>
      <c r="P3" s="11"/>
      <c r="Q3" s="89" t="s">
        <v>1</v>
      </c>
      <c r="R3" s="90" t="s">
        <v>2</v>
      </c>
      <c r="S3" s="90" t="s">
        <v>3</v>
      </c>
      <c r="T3" s="90" t="s">
        <v>4</v>
      </c>
      <c r="U3" s="92" t="s">
        <v>5</v>
      </c>
      <c r="W3" s="17" t="s">
        <v>1</v>
      </c>
      <c r="X3" s="18" t="s">
        <v>2</v>
      </c>
      <c r="Y3" s="18" t="s">
        <v>3</v>
      </c>
      <c r="Z3" s="18" t="s">
        <v>4</v>
      </c>
      <c r="AA3" s="26" t="s">
        <v>5</v>
      </c>
      <c r="AC3" s="17" t="s">
        <v>1</v>
      </c>
      <c r="AD3" s="18" t="s">
        <v>2</v>
      </c>
      <c r="AE3" s="18" t="s">
        <v>3</v>
      </c>
      <c r="AF3" s="18" t="s">
        <v>4</v>
      </c>
      <c r="AG3" s="26" t="s">
        <v>5</v>
      </c>
      <c r="AI3" s="17" t="s">
        <v>1</v>
      </c>
      <c r="AJ3" s="18" t="s">
        <v>2</v>
      </c>
      <c r="AK3" s="18" t="s">
        <v>3</v>
      </c>
      <c r="AL3" s="18" t="s">
        <v>4</v>
      </c>
      <c r="AM3" s="26" t="s">
        <v>5</v>
      </c>
      <c r="AO3" s="17" t="s">
        <v>1</v>
      </c>
      <c r="AP3" s="18" t="s">
        <v>2</v>
      </c>
      <c r="AQ3" s="18" t="s">
        <v>3</v>
      </c>
      <c r="AR3" s="18" t="s">
        <v>4</v>
      </c>
      <c r="AS3" s="26" t="s">
        <v>5</v>
      </c>
    </row>
    <row r="4" spans="2:45" x14ac:dyDescent="0.3">
      <c r="B4" s="17"/>
      <c r="C4" s="37"/>
      <c r="D4" s="3"/>
      <c r="E4" s="35" t="s">
        <v>19</v>
      </c>
      <c r="F4" s="36" t="s">
        <v>19</v>
      </c>
      <c r="G4" s="36" t="s">
        <v>19</v>
      </c>
      <c r="H4" s="36" t="s">
        <v>19</v>
      </c>
      <c r="I4" s="37" t="s">
        <v>19</v>
      </c>
      <c r="J4" s="3"/>
      <c r="K4" s="35" t="s">
        <v>19</v>
      </c>
      <c r="L4" s="36" t="s">
        <v>19</v>
      </c>
      <c r="M4" s="36" t="s">
        <v>19</v>
      </c>
      <c r="N4" s="36" t="s">
        <v>19</v>
      </c>
      <c r="O4" s="37" t="s">
        <v>19</v>
      </c>
      <c r="P4" s="3"/>
      <c r="Q4" s="35" t="s">
        <v>19</v>
      </c>
      <c r="R4" s="36" t="s">
        <v>19</v>
      </c>
      <c r="S4" s="36" t="s">
        <v>19</v>
      </c>
      <c r="T4" s="36" t="s">
        <v>19</v>
      </c>
      <c r="U4" s="37" t="s">
        <v>19</v>
      </c>
      <c r="V4" s="3"/>
      <c r="W4" s="35" t="s">
        <v>19</v>
      </c>
      <c r="X4" s="36" t="s">
        <v>19</v>
      </c>
      <c r="Y4" s="36" t="s">
        <v>19</v>
      </c>
      <c r="Z4" s="36" t="s">
        <v>19</v>
      </c>
      <c r="AA4" s="37" t="s">
        <v>19</v>
      </c>
      <c r="AB4" s="3"/>
      <c r="AC4" s="35" t="s">
        <v>19</v>
      </c>
      <c r="AD4" s="36" t="s">
        <v>19</v>
      </c>
      <c r="AE4" s="36" t="s">
        <v>19</v>
      </c>
      <c r="AF4" s="36" t="s">
        <v>19</v>
      </c>
      <c r="AG4" s="37" t="s">
        <v>19</v>
      </c>
      <c r="AH4" s="3"/>
      <c r="AI4" s="35" t="s">
        <v>19</v>
      </c>
      <c r="AJ4" s="36" t="s">
        <v>19</v>
      </c>
      <c r="AK4" s="36" t="s">
        <v>19</v>
      </c>
      <c r="AL4" s="36" t="s">
        <v>19</v>
      </c>
      <c r="AM4" s="37" t="s">
        <v>19</v>
      </c>
      <c r="AN4" s="3"/>
      <c r="AO4" s="35" t="s">
        <v>19</v>
      </c>
      <c r="AP4" s="36" t="s">
        <v>19</v>
      </c>
      <c r="AQ4" s="36" t="s">
        <v>19</v>
      </c>
      <c r="AR4" s="36" t="s">
        <v>19</v>
      </c>
      <c r="AS4" s="37" t="s">
        <v>19</v>
      </c>
    </row>
    <row r="5" spans="2:45" ht="15" thickBot="1" x14ac:dyDescent="0.35">
      <c r="B5" s="17"/>
      <c r="C5" s="26"/>
      <c r="E5" s="17"/>
      <c r="F5" s="18"/>
      <c r="G5" s="18"/>
      <c r="H5" s="18"/>
      <c r="I5" s="26"/>
      <c r="K5" s="17"/>
      <c r="L5" s="18"/>
      <c r="M5" s="18"/>
      <c r="N5" s="18"/>
      <c r="O5" s="26"/>
      <c r="Q5" s="17"/>
      <c r="R5" s="18"/>
      <c r="S5" s="18"/>
      <c r="T5" s="18"/>
      <c r="U5" s="22"/>
      <c r="W5" s="17"/>
      <c r="X5" s="18"/>
      <c r="Y5" s="18"/>
      <c r="Z5" s="18"/>
      <c r="AA5" s="26"/>
      <c r="AC5" s="17"/>
      <c r="AD5" s="18"/>
      <c r="AE5" s="18"/>
      <c r="AF5" s="18"/>
      <c r="AG5" s="26"/>
      <c r="AI5" s="17"/>
      <c r="AJ5" s="18"/>
      <c r="AK5" s="18"/>
      <c r="AL5" s="18"/>
      <c r="AM5" s="26"/>
      <c r="AO5" s="17"/>
      <c r="AP5" s="18"/>
      <c r="AQ5" s="18"/>
      <c r="AR5" s="18"/>
      <c r="AS5" s="26"/>
    </row>
    <row r="6" spans="2:45" x14ac:dyDescent="0.3">
      <c r="B6" s="49" t="s">
        <v>15</v>
      </c>
      <c r="C6" s="80"/>
      <c r="D6" s="15"/>
      <c r="E6" s="14"/>
      <c r="F6" s="15"/>
      <c r="G6" s="15"/>
      <c r="H6" s="15"/>
      <c r="I6" s="16"/>
      <c r="J6" s="15"/>
      <c r="K6" s="14"/>
      <c r="L6" s="15"/>
      <c r="M6" s="15"/>
      <c r="N6" s="15"/>
      <c r="O6" s="16"/>
      <c r="P6" s="15"/>
      <c r="Q6" s="14"/>
      <c r="R6" s="15"/>
      <c r="S6" s="15"/>
      <c r="T6" s="15"/>
      <c r="U6" s="43"/>
      <c r="V6" s="15"/>
      <c r="W6" s="14"/>
      <c r="X6" s="15"/>
      <c r="Y6" s="15"/>
      <c r="Z6" s="15"/>
      <c r="AA6" s="16"/>
      <c r="AB6" s="15"/>
      <c r="AC6" s="14"/>
      <c r="AD6" s="15"/>
      <c r="AE6" s="15"/>
      <c r="AF6" s="15"/>
      <c r="AG6" s="16"/>
      <c r="AH6" s="15"/>
      <c r="AI6" s="14"/>
      <c r="AJ6" s="15"/>
      <c r="AK6" s="15"/>
      <c r="AL6" s="15"/>
      <c r="AM6" s="16"/>
      <c r="AN6" s="15"/>
      <c r="AO6" s="14"/>
      <c r="AP6" s="15"/>
      <c r="AQ6" s="15"/>
      <c r="AR6" s="15"/>
      <c r="AS6" s="16"/>
    </row>
    <row r="7" spans="2:45" x14ac:dyDescent="0.3">
      <c r="B7" s="50"/>
      <c r="C7" s="82" t="s">
        <v>12</v>
      </c>
      <c r="D7" s="19"/>
      <c r="E7" s="38">
        <f t="shared" ref="E7:G7" si="0">K7/$O$7*$I$7</f>
        <v>28.796185935637666</v>
      </c>
      <c r="F7" s="20">
        <f t="shared" si="0"/>
        <v>37.25506555423123</v>
      </c>
      <c r="G7" s="20">
        <f t="shared" si="0"/>
        <v>39.294795391338894</v>
      </c>
      <c r="H7" s="20">
        <f>N7/$O$7*$I$7</f>
        <v>45.653953118792217</v>
      </c>
      <c r="I7" s="39">
        <v>151</v>
      </c>
      <c r="J7" s="19"/>
      <c r="K7" s="42">
        <v>48</v>
      </c>
      <c r="L7" s="19">
        <v>62.1</v>
      </c>
      <c r="M7" s="19">
        <v>65.5</v>
      </c>
      <c r="N7" s="19">
        <v>76.099999999999994</v>
      </c>
      <c r="O7" s="22">
        <f>SUM(K7:N7)</f>
        <v>251.7</v>
      </c>
      <c r="P7" s="19"/>
      <c r="Q7" s="42">
        <v>70.8</v>
      </c>
      <c r="R7" s="19">
        <v>87</v>
      </c>
      <c r="S7" s="19">
        <v>89.8</v>
      </c>
      <c r="T7" s="19">
        <v>93.7</v>
      </c>
      <c r="U7" s="22">
        <f>SUM(Q7:T7)</f>
        <v>341.3</v>
      </c>
      <c r="V7" s="18"/>
      <c r="W7" s="42">
        <v>123.5</v>
      </c>
      <c r="X7" s="21">
        <f>W7*(1+X9)</f>
        <v>137.08500000000001</v>
      </c>
      <c r="Y7" s="21">
        <f>X7*(1+Y9)</f>
        <v>152.16435000000001</v>
      </c>
      <c r="Z7" s="21">
        <f>Y7*(1+Z9)</f>
        <v>167.38078500000003</v>
      </c>
      <c r="AA7" s="22">
        <f>SUM(W7:Z7)</f>
        <v>580.13013500000011</v>
      </c>
      <c r="AB7" s="21"/>
      <c r="AC7" s="27">
        <f>Z7*(1+AC9)</f>
        <v>184.11886350000006</v>
      </c>
      <c r="AD7" s="21">
        <f t="shared" ref="AD7:AF7" si="1">AC7*(1+AD9)</f>
        <v>200.68956121500008</v>
      </c>
      <c r="AE7" s="21">
        <f t="shared" si="1"/>
        <v>218.75162172435012</v>
      </c>
      <c r="AF7" s="21">
        <f t="shared" si="1"/>
        <v>236.25175146229813</v>
      </c>
      <c r="AG7" s="22">
        <f>SUM(AC7:AF7)</f>
        <v>839.81179790164833</v>
      </c>
      <c r="AH7" s="21"/>
      <c r="AI7" s="27">
        <f>AF7*(1+AI9)</f>
        <v>255.15189157928199</v>
      </c>
      <c r="AJ7" s="21">
        <f t="shared" ref="AJ7:AL7" si="2">AI7*(1+AJ9)</f>
        <v>273.01252398983178</v>
      </c>
      <c r="AK7" s="21">
        <f t="shared" si="2"/>
        <v>292.12340066912003</v>
      </c>
      <c r="AL7" s="21">
        <f t="shared" si="2"/>
        <v>309.65080470926722</v>
      </c>
      <c r="AM7" s="22">
        <f>SUM(AI7:AL7)</f>
        <v>1129.938620947501</v>
      </c>
      <c r="AN7" s="21"/>
      <c r="AO7" s="27">
        <f>AL7*(1+AO9)</f>
        <v>328.22985299182329</v>
      </c>
      <c r="AP7" s="21">
        <f t="shared" ref="AP7:AR7" si="3">AO7*(1+AP9)</f>
        <v>344.64134564141449</v>
      </c>
      <c r="AQ7" s="21">
        <f t="shared" si="3"/>
        <v>361.8734129234852</v>
      </c>
      <c r="AR7" s="21">
        <f t="shared" si="3"/>
        <v>376.34834944042461</v>
      </c>
      <c r="AS7" s="22">
        <f>SUM(AO7:AR7)</f>
        <v>1411.0929609971477</v>
      </c>
    </row>
    <row r="8" spans="2:45" s="4" customFormat="1" x14ac:dyDescent="0.3">
      <c r="B8" s="84"/>
      <c r="C8" s="85" t="s">
        <v>26</v>
      </c>
      <c r="D8" s="24"/>
      <c r="E8" s="23">
        <v>0</v>
      </c>
      <c r="F8" s="24">
        <v>0</v>
      </c>
      <c r="G8" s="24">
        <v>0</v>
      </c>
      <c r="H8" s="24">
        <v>0</v>
      </c>
      <c r="I8" s="25">
        <v>0</v>
      </c>
      <c r="J8" s="24"/>
      <c r="K8" s="23">
        <f>(K7-E7)/E7</f>
        <v>0.66688741721854294</v>
      </c>
      <c r="L8" s="24">
        <f>(L7-F7)/F7</f>
        <v>0.66688741721854294</v>
      </c>
      <c r="M8" s="24">
        <f>(M7-G7)/G7</f>
        <v>0.66688741721854305</v>
      </c>
      <c r="N8" s="24">
        <f>(N7-H7)/H7</f>
        <v>0.66688741721854283</v>
      </c>
      <c r="O8" s="25">
        <f>(O7-I7)/I7</f>
        <v>0.66688741721854294</v>
      </c>
      <c r="P8" s="24"/>
      <c r="Q8" s="23">
        <f>(Q7-K7)/K7</f>
        <v>0.47499999999999992</v>
      </c>
      <c r="R8" s="24">
        <f>(R7-L7)/L7</f>
        <v>0.40096618357487918</v>
      </c>
      <c r="S8" s="24">
        <f>(S7-M7)/M7</f>
        <v>0.37099236641221367</v>
      </c>
      <c r="T8" s="24">
        <f>(T7-N7)/N7</f>
        <v>0.23127463863337727</v>
      </c>
      <c r="U8" s="25">
        <f>(U7-O7)/O7</f>
        <v>0.35597934048470414</v>
      </c>
      <c r="V8" s="24"/>
      <c r="W8" s="23">
        <f>(W7-Q7)/Q7</f>
        <v>0.74435028248587576</v>
      </c>
      <c r="X8" s="24">
        <f>(X7-R7)/R7</f>
        <v>0.57568965517241388</v>
      </c>
      <c r="Y8" s="24">
        <f>(Y7-S7)/S7</f>
        <v>0.6944805122494434</v>
      </c>
      <c r="Z8" s="24">
        <f>(Z7-T7)/T7</f>
        <v>0.7863477588046961</v>
      </c>
      <c r="AA8" s="25">
        <f>(AA7-U7)/U7</f>
        <v>0.69976599765602132</v>
      </c>
      <c r="AB8" s="46"/>
      <c r="AC8" s="23">
        <f>(AC7-W7)/W7</f>
        <v>0.49084100000000047</v>
      </c>
      <c r="AD8" s="24">
        <f>(AD7-X7)/X7</f>
        <v>0.46397900000000053</v>
      </c>
      <c r="AE8" s="24">
        <f>(AE7-Y7)/Y7</f>
        <v>0.43760100000000063</v>
      </c>
      <c r="AF8" s="24">
        <f>(AF7-Z7)/Z7</f>
        <v>0.41146280000000052</v>
      </c>
      <c r="AG8" s="25">
        <f>(AG7-AA7)/AA7</f>
        <v>0.44762657072046114</v>
      </c>
      <c r="AH8" s="46"/>
      <c r="AI8" s="23">
        <f>(AI7-AC7)/AC7</f>
        <v>0.38579984000000039</v>
      </c>
      <c r="AJ8" s="24">
        <f>(AJ7-AD7)/AD7</f>
        <v>0.36037232000000047</v>
      </c>
      <c r="AK8" s="24">
        <f>(AK7-AE7)/AE7</f>
        <v>0.33541136000000044</v>
      </c>
      <c r="AL8" s="24">
        <f>(AL7-AF7)/AF7</f>
        <v>0.31068152000000038</v>
      </c>
      <c r="AM8" s="25">
        <f>(AM7-AG7)/AG7</f>
        <v>0.34546647685917586</v>
      </c>
      <c r="AN8" s="46"/>
      <c r="AO8" s="23">
        <f>(AO7-AI7)/AI7</f>
        <v>0.28640964000000046</v>
      </c>
      <c r="AP8" s="24">
        <f>(AP7-AJ7)/AJ7</f>
        <v>0.26236460000000034</v>
      </c>
      <c r="AQ8" s="24">
        <f>(AQ7-AK7)/AK7</f>
        <v>0.23876900000000018</v>
      </c>
      <c r="AR8" s="24">
        <f>(AR7-AL7)/AL7</f>
        <v>0.21539600000000023</v>
      </c>
      <c r="AS8" s="25">
        <f>(AS7-AM7)/AM7</f>
        <v>0.24882266597267638</v>
      </c>
    </row>
    <row r="9" spans="2:45" s="4" customFormat="1" x14ac:dyDescent="0.3">
      <c r="B9" s="84"/>
      <c r="C9" s="85" t="s">
        <v>25</v>
      </c>
      <c r="D9" s="24"/>
      <c r="E9" s="23">
        <v>0</v>
      </c>
      <c r="F9" s="24">
        <f>F7/E7-1</f>
        <v>0.29374999999999996</v>
      </c>
      <c r="G9" s="24">
        <f t="shared" ref="G9:H9" si="4">G7/F7-1</f>
        <v>5.4750402576489332E-2</v>
      </c>
      <c r="H9" s="24">
        <f t="shared" si="4"/>
        <v>0.16183206106870252</v>
      </c>
      <c r="I9" s="25"/>
      <c r="J9" s="24"/>
      <c r="K9" s="23">
        <f>K7/H7-1</f>
        <v>5.1387595617477855E-2</v>
      </c>
      <c r="L9" s="24">
        <f>L7/K7-1</f>
        <v>0.29374999999999996</v>
      </c>
      <c r="M9" s="24">
        <f t="shared" ref="M9:N9" si="5">M7/L7-1</f>
        <v>5.4750402576489554E-2</v>
      </c>
      <c r="N9" s="24">
        <f t="shared" si="5"/>
        <v>0.16183206106870229</v>
      </c>
      <c r="O9" s="25"/>
      <c r="P9" s="24"/>
      <c r="Q9" s="23">
        <f>Q7/N7-1</f>
        <v>-6.9645203679369216E-2</v>
      </c>
      <c r="R9" s="24">
        <f>R7/Q7-1</f>
        <v>0.22881355932203395</v>
      </c>
      <c r="S9" s="24">
        <f t="shared" ref="S9:T9" si="6">S7/R7-1</f>
        <v>3.2183908045976928E-2</v>
      </c>
      <c r="T9" s="24">
        <f t="shared" si="6"/>
        <v>4.3429844097995662E-2</v>
      </c>
      <c r="U9" s="25"/>
      <c r="V9" s="24"/>
      <c r="W9" s="23">
        <f>W7/T7-1</f>
        <v>0.3180362860192103</v>
      </c>
      <c r="X9" s="46">
        <v>0.11</v>
      </c>
      <c r="Y9" s="46">
        <v>0.11</v>
      </c>
      <c r="Z9" s="46">
        <v>0.1</v>
      </c>
      <c r="AA9" s="47"/>
      <c r="AB9" s="46"/>
      <c r="AC9" s="48">
        <v>0.1</v>
      </c>
      <c r="AD9" s="46">
        <v>0.09</v>
      </c>
      <c r="AE9" s="46">
        <v>0.09</v>
      </c>
      <c r="AF9" s="46">
        <v>0.08</v>
      </c>
      <c r="AG9" s="47"/>
      <c r="AH9" s="46"/>
      <c r="AI9" s="48">
        <v>0.08</v>
      </c>
      <c r="AJ9" s="46">
        <v>7.0000000000000007E-2</v>
      </c>
      <c r="AK9" s="46">
        <v>7.0000000000000007E-2</v>
      </c>
      <c r="AL9" s="46">
        <v>0.06</v>
      </c>
      <c r="AM9" s="47"/>
      <c r="AN9" s="46"/>
      <c r="AO9" s="48">
        <v>0.06</v>
      </c>
      <c r="AP9" s="46">
        <v>0.05</v>
      </c>
      <c r="AQ9" s="46">
        <v>0.05</v>
      </c>
      <c r="AR9" s="46">
        <v>0.04</v>
      </c>
      <c r="AS9" s="25"/>
    </row>
    <row r="10" spans="2:45" ht="15" thickBot="1" x14ac:dyDescent="0.35">
      <c r="B10" s="53"/>
      <c r="C10" s="86" t="s">
        <v>22</v>
      </c>
      <c r="D10" s="32"/>
      <c r="E10" s="31"/>
      <c r="F10" s="32"/>
      <c r="G10" s="32"/>
      <c r="H10" s="32"/>
      <c r="I10" s="34"/>
      <c r="J10" s="32"/>
      <c r="K10" s="31"/>
      <c r="L10" s="32"/>
      <c r="M10" s="32"/>
      <c r="N10" s="32"/>
      <c r="O10" s="34"/>
      <c r="P10" s="32"/>
      <c r="Q10" s="31"/>
      <c r="R10" s="32"/>
      <c r="S10" s="32"/>
      <c r="T10" s="32"/>
      <c r="U10" s="44"/>
      <c r="V10" s="32"/>
      <c r="W10" s="31"/>
      <c r="X10" s="32"/>
      <c r="Y10" s="32"/>
      <c r="Z10" s="32"/>
      <c r="AA10" s="34"/>
      <c r="AB10" s="32"/>
      <c r="AC10" s="31"/>
      <c r="AD10" s="32"/>
      <c r="AE10" s="32"/>
      <c r="AF10" s="32"/>
      <c r="AG10" s="34"/>
      <c r="AH10" s="32"/>
      <c r="AI10" s="31"/>
      <c r="AJ10" s="32"/>
      <c r="AK10" s="32"/>
      <c r="AL10" s="32"/>
      <c r="AM10" s="34"/>
      <c r="AN10" s="32"/>
      <c r="AO10" s="31"/>
      <c r="AP10" s="32"/>
      <c r="AQ10" s="32"/>
      <c r="AR10" s="32"/>
      <c r="AS10" s="34"/>
    </row>
    <row r="11" spans="2:45" ht="15" thickBot="1" x14ac:dyDescent="0.35">
      <c r="B11" s="50"/>
      <c r="C11" s="82"/>
      <c r="D11" s="18"/>
      <c r="E11" s="17"/>
      <c r="F11" s="18"/>
      <c r="G11" s="18"/>
      <c r="H11" s="18"/>
      <c r="I11" s="26"/>
      <c r="J11" s="18"/>
      <c r="K11" s="17"/>
      <c r="L11" s="18"/>
      <c r="M11" s="18"/>
      <c r="N11" s="18"/>
      <c r="O11" s="26"/>
      <c r="P11" s="18"/>
      <c r="Q11" s="17"/>
      <c r="R11" s="18"/>
      <c r="S11" s="18"/>
      <c r="T11" s="18"/>
      <c r="U11" s="26"/>
      <c r="V11" s="18"/>
      <c r="W11" s="17"/>
      <c r="X11" s="18"/>
      <c r="Y11" s="18"/>
      <c r="Z11" s="18"/>
      <c r="AA11" s="26"/>
      <c r="AB11" s="18"/>
      <c r="AC11" s="17"/>
      <c r="AD11" s="18"/>
      <c r="AE11" s="18"/>
      <c r="AF11" s="18"/>
      <c r="AG11" s="26"/>
      <c r="AH11" s="18"/>
      <c r="AI11" s="17"/>
      <c r="AJ11" s="18"/>
      <c r="AK11" s="18"/>
      <c r="AL11" s="18"/>
      <c r="AM11" s="26"/>
      <c r="AN11" s="18"/>
      <c r="AO11" s="17"/>
      <c r="AP11" s="18"/>
      <c r="AQ11" s="18"/>
      <c r="AR11" s="18"/>
      <c r="AS11" s="26"/>
    </row>
    <row r="12" spans="2:45" x14ac:dyDescent="0.3">
      <c r="B12" s="49" t="s">
        <v>13</v>
      </c>
      <c r="C12" s="80"/>
      <c r="D12" s="15"/>
      <c r="E12" s="14"/>
      <c r="F12" s="15"/>
      <c r="G12" s="15"/>
      <c r="H12" s="15"/>
      <c r="I12" s="16"/>
      <c r="J12" s="15"/>
      <c r="K12" s="14"/>
      <c r="L12" s="15"/>
      <c r="M12" s="15"/>
      <c r="N12" s="15"/>
      <c r="O12" s="16"/>
      <c r="P12" s="15"/>
      <c r="Q12" s="14"/>
      <c r="R12" s="15"/>
      <c r="S12" s="15"/>
      <c r="T12" s="15"/>
      <c r="U12" s="16"/>
      <c r="V12" s="15"/>
      <c r="W12" s="14"/>
      <c r="X12" s="15"/>
      <c r="Y12" s="15"/>
      <c r="Z12" s="15"/>
      <c r="AA12" s="16"/>
      <c r="AB12" s="15"/>
      <c r="AC12" s="14"/>
      <c r="AD12" s="15"/>
      <c r="AE12" s="15"/>
      <c r="AF12" s="15"/>
      <c r="AG12" s="16"/>
      <c r="AH12" s="15"/>
      <c r="AI12" s="14"/>
      <c r="AJ12" s="15"/>
      <c r="AK12" s="15"/>
      <c r="AL12" s="15"/>
      <c r="AM12" s="16"/>
      <c r="AN12" s="15"/>
      <c r="AO12" s="14"/>
      <c r="AP12" s="15"/>
      <c r="AQ12" s="15"/>
      <c r="AR12" s="15"/>
      <c r="AS12" s="16"/>
    </row>
    <row r="13" spans="2:45" x14ac:dyDescent="0.3">
      <c r="B13" s="50"/>
      <c r="C13" s="82" t="s">
        <v>12</v>
      </c>
      <c r="D13" s="19"/>
      <c r="E13" s="38">
        <f t="shared" ref="E13:G13" si="7">K13/$O$13*$I$13</f>
        <v>4.9149312377210208</v>
      </c>
      <c r="F13" s="20">
        <f t="shared" si="7"/>
        <v>6.5532416502946944</v>
      </c>
      <c r="G13" s="20">
        <f t="shared" si="7"/>
        <v>7.451669941060902</v>
      </c>
      <c r="H13" s="20">
        <f>N13/$O$13*$I$13</f>
        <v>7.9801571709233787</v>
      </c>
      <c r="I13" s="39">
        <v>26.9</v>
      </c>
      <c r="J13" s="19"/>
      <c r="K13" s="42">
        <v>9.3000000000000007</v>
      </c>
      <c r="L13" s="19">
        <v>12.4</v>
      </c>
      <c r="M13" s="19">
        <v>14.1</v>
      </c>
      <c r="N13" s="19">
        <v>15.1</v>
      </c>
      <c r="O13" s="22">
        <f>SUM(K13:N13)</f>
        <v>50.900000000000006</v>
      </c>
      <c r="P13" s="19"/>
      <c r="Q13" s="42">
        <v>15.5</v>
      </c>
      <c r="R13" s="19">
        <v>18.899999999999999</v>
      </c>
      <c r="S13" s="19">
        <v>22.1</v>
      </c>
      <c r="T13" s="19">
        <v>23.2</v>
      </c>
      <c r="U13" s="22">
        <f>SUM(Q13:T13)</f>
        <v>79.7</v>
      </c>
      <c r="V13" s="18"/>
      <c r="W13" s="42">
        <v>26.6</v>
      </c>
      <c r="X13" s="21">
        <f>W13*(1+X15)</f>
        <v>30.59</v>
      </c>
      <c r="Y13" s="21">
        <f>X13*(1+Y15)</f>
        <v>34.872600000000006</v>
      </c>
      <c r="Z13" s="21">
        <f>Y13*(1+Z15)</f>
        <v>39.754764000000009</v>
      </c>
      <c r="AA13" s="22">
        <f>SUM(W13:Z13)</f>
        <v>131.817364</v>
      </c>
      <c r="AB13" s="21"/>
      <c r="AC13" s="27">
        <f>Z13*(1+AC15)</f>
        <v>44.922883320000004</v>
      </c>
      <c r="AD13" s="21">
        <f t="shared" ref="AD13:AF13" si="8">AC13*(1+AD15)</f>
        <v>50.7628581516</v>
      </c>
      <c r="AE13" s="21">
        <f t="shared" si="8"/>
        <v>56.854401129792002</v>
      </c>
      <c r="AF13" s="21">
        <f t="shared" si="8"/>
        <v>63.67692926536705</v>
      </c>
      <c r="AG13" s="22">
        <f>SUM(AC13:AF13)</f>
        <v>216.21707186675906</v>
      </c>
      <c r="AH13" s="21"/>
      <c r="AI13" s="27">
        <f>AF13*(1+AI15)</f>
        <v>70.681391484557437</v>
      </c>
      <c r="AJ13" s="21">
        <f t="shared" ref="AJ13:AL13" si="9">AI13*(1+AJ15)</f>
        <v>78.456344547858762</v>
      </c>
      <c r="AK13" s="21">
        <f t="shared" si="9"/>
        <v>86.301979002644643</v>
      </c>
      <c r="AL13" s="21">
        <f t="shared" si="9"/>
        <v>94.93217690290912</v>
      </c>
      <c r="AM13" s="22">
        <f>SUM(AI13:AL13)</f>
        <v>330.37189193796996</v>
      </c>
      <c r="AN13" s="21"/>
      <c r="AO13" s="27">
        <f>AL13*(1+AO15)</f>
        <v>103.47607282417094</v>
      </c>
      <c r="AP13" s="21">
        <f t="shared" ref="AP13:AR13" si="10">AO13*(1+AP15)</f>
        <v>112.78891937834634</v>
      </c>
      <c r="AQ13" s="21">
        <f t="shared" si="10"/>
        <v>121.81203292861404</v>
      </c>
      <c r="AR13" s="21">
        <f t="shared" si="10"/>
        <v>131.55699556290318</v>
      </c>
      <c r="AS13" s="22">
        <f>SUM(AO13:AR13)</f>
        <v>469.63402069403452</v>
      </c>
    </row>
    <row r="14" spans="2:45" s="4" customFormat="1" x14ac:dyDescent="0.3">
      <c r="B14" s="84"/>
      <c r="C14" s="85" t="s">
        <v>26</v>
      </c>
      <c r="D14" s="24"/>
      <c r="E14" s="23">
        <v>0</v>
      </c>
      <c r="F14" s="24">
        <v>0</v>
      </c>
      <c r="G14" s="24">
        <v>0</v>
      </c>
      <c r="H14" s="24">
        <v>0</v>
      </c>
      <c r="I14" s="25">
        <v>0</v>
      </c>
      <c r="J14" s="24"/>
      <c r="K14" s="23">
        <f>(K13-E13)/E13</f>
        <v>0.8921933085501863</v>
      </c>
      <c r="L14" s="24">
        <f>(L13-F13)/F13</f>
        <v>0.89219330855018619</v>
      </c>
      <c r="M14" s="24">
        <f>(M13-G13)/G13</f>
        <v>0.8921933085501863</v>
      </c>
      <c r="N14" s="24">
        <f>(N13-H13)/H13</f>
        <v>0.89219330855018597</v>
      </c>
      <c r="O14" s="25">
        <f>(O13-I13)/I13</f>
        <v>0.89219330855018619</v>
      </c>
      <c r="P14" s="24"/>
      <c r="Q14" s="23">
        <f>(Q13-K13)/K13</f>
        <v>0.66666666666666652</v>
      </c>
      <c r="R14" s="24">
        <f>(R13-L13)/L13</f>
        <v>0.52419354838709664</v>
      </c>
      <c r="S14" s="24">
        <f>(S13-M13)/M13</f>
        <v>0.56737588652482285</v>
      </c>
      <c r="T14" s="24">
        <f>(T13-N13)/N13</f>
        <v>0.53642384105960261</v>
      </c>
      <c r="U14" s="25">
        <f>(U13-O13)/O13</f>
        <v>0.56581532416502933</v>
      </c>
      <c r="V14" s="24"/>
      <c r="W14" s="23">
        <f>(W13-Q13)/Q13</f>
        <v>0.71612903225806457</v>
      </c>
      <c r="X14" s="24">
        <f>(X13-R13)/R13</f>
        <v>0.61851851851851858</v>
      </c>
      <c r="Y14" s="24">
        <f>(Y13-S13)/S13</f>
        <v>0.57794570135746626</v>
      </c>
      <c r="Z14" s="24">
        <f>(Z13-T13)/T13</f>
        <v>0.71356741379310384</v>
      </c>
      <c r="AA14" s="25">
        <f>(AA13-U13)/U13</f>
        <v>0.6539192471769133</v>
      </c>
      <c r="AB14" s="24"/>
      <c r="AC14" s="23">
        <v>0.66666666666666652</v>
      </c>
      <c r="AD14" s="24">
        <v>0.52419354838709664</v>
      </c>
      <c r="AE14" s="24">
        <v>0.56737588652482285</v>
      </c>
      <c r="AF14" s="24">
        <v>0.53642384105960261</v>
      </c>
      <c r="AG14" s="25">
        <v>0.56581532416502933</v>
      </c>
      <c r="AH14" s="24"/>
      <c r="AI14" s="23">
        <f>(AI13-AC13)/AC13</f>
        <v>0.57339392000000033</v>
      </c>
      <c r="AJ14" s="24">
        <f>(AJ13-AD13)/AD13</f>
        <v>0.54554624000000063</v>
      </c>
      <c r="AK14" s="24">
        <f>(AK13-AE13)/AE13</f>
        <v>0.51794720000000061</v>
      </c>
      <c r="AL14" s="24">
        <f>(AL13-AF13)/AF13</f>
        <v>0.49084100000000064</v>
      </c>
      <c r="AM14" s="25">
        <f>(AM13-AG13)/AG13</f>
        <v>0.52796395347337477</v>
      </c>
      <c r="AN14" s="24"/>
      <c r="AO14" s="23">
        <f>(AO13-AI13)/AI13</f>
        <v>0.46397900000000042</v>
      </c>
      <c r="AP14" s="24">
        <f>(AP13-AJ13)/AJ13</f>
        <v>0.43760100000000041</v>
      </c>
      <c r="AQ14" s="24">
        <f>(AQ13-AK13)/AK13</f>
        <v>0.41146280000000035</v>
      </c>
      <c r="AR14" s="24">
        <f>(AR13-AL13)/AL13</f>
        <v>0.38579984000000028</v>
      </c>
      <c r="AS14" s="25">
        <f>(AS13-AM13)/AM13</f>
        <v>0.42153140795104982</v>
      </c>
    </row>
    <row r="15" spans="2:45" x14ac:dyDescent="0.3">
      <c r="B15" s="50"/>
      <c r="C15" s="85" t="s">
        <v>25</v>
      </c>
      <c r="D15" s="18"/>
      <c r="E15" s="23">
        <v>0</v>
      </c>
      <c r="F15" s="24">
        <f>F13/E13-1</f>
        <v>0.33333333333333326</v>
      </c>
      <c r="G15" s="24">
        <f t="shared" ref="G15:H15" si="11">G13/F13-1</f>
        <v>0.13709677419354827</v>
      </c>
      <c r="H15" s="24">
        <f t="shared" si="11"/>
        <v>7.0921985815602939E-2</v>
      </c>
      <c r="I15" s="26"/>
      <c r="J15" s="18"/>
      <c r="K15" s="23">
        <f>K13/H13-1</f>
        <v>0.16539058076269741</v>
      </c>
      <c r="L15" s="24">
        <f>L13/K13-1</f>
        <v>0.33333333333333326</v>
      </c>
      <c r="M15" s="24">
        <f t="shared" ref="M15:N15" si="12">M13/L13-1</f>
        <v>0.13709677419354827</v>
      </c>
      <c r="N15" s="24">
        <f t="shared" si="12"/>
        <v>7.0921985815602939E-2</v>
      </c>
      <c r="O15" s="26"/>
      <c r="P15" s="18"/>
      <c r="Q15" s="23">
        <f>Q13/N13-1</f>
        <v>2.6490066225165476E-2</v>
      </c>
      <c r="R15" s="24">
        <f>R13/Q13-1</f>
        <v>0.21935483870967731</v>
      </c>
      <c r="S15" s="24">
        <f t="shared" ref="S15:T15" si="13">S13/R13-1</f>
        <v>0.16931216931216952</v>
      </c>
      <c r="T15" s="24">
        <f t="shared" si="13"/>
        <v>4.977375565610842E-2</v>
      </c>
      <c r="U15" s="22"/>
      <c r="V15" s="18"/>
      <c r="W15" s="23">
        <f>W13/T13-1</f>
        <v>0.14655172413793105</v>
      </c>
      <c r="X15" s="46">
        <v>0.15</v>
      </c>
      <c r="Y15" s="46">
        <v>0.14000000000000001</v>
      </c>
      <c r="Z15" s="46">
        <v>0.14000000000000001</v>
      </c>
      <c r="AA15" s="39"/>
      <c r="AB15" s="19"/>
      <c r="AC15" s="48">
        <v>0.13</v>
      </c>
      <c r="AD15" s="46">
        <v>0.13</v>
      </c>
      <c r="AE15" s="46">
        <v>0.12</v>
      </c>
      <c r="AF15" s="46">
        <v>0.12</v>
      </c>
      <c r="AG15" s="39"/>
      <c r="AH15" s="19"/>
      <c r="AI15" s="48">
        <v>0.11</v>
      </c>
      <c r="AJ15" s="46">
        <v>0.11</v>
      </c>
      <c r="AK15" s="46">
        <v>0.1</v>
      </c>
      <c r="AL15" s="46">
        <v>0.1</v>
      </c>
      <c r="AM15" s="39"/>
      <c r="AN15" s="19"/>
      <c r="AO15" s="48">
        <v>0.09</v>
      </c>
      <c r="AP15" s="46">
        <v>0.09</v>
      </c>
      <c r="AQ15" s="46">
        <v>0.08</v>
      </c>
      <c r="AR15" s="46">
        <v>0.08</v>
      </c>
      <c r="AS15" s="26"/>
    </row>
    <row r="16" spans="2:45" ht="15" thickBot="1" x14ac:dyDescent="0.35">
      <c r="B16" s="53"/>
      <c r="C16" s="86" t="s">
        <v>22</v>
      </c>
      <c r="D16" s="32"/>
      <c r="E16" s="31"/>
      <c r="F16" s="32"/>
      <c r="G16" s="32"/>
      <c r="H16" s="32"/>
      <c r="I16" s="34"/>
      <c r="J16" s="32"/>
      <c r="K16" s="31"/>
      <c r="L16" s="32"/>
      <c r="M16" s="32"/>
      <c r="N16" s="32"/>
      <c r="O16" s="34"/>
      <c r="P16" s="32"/>
      <c r="Q16" s="31"/>
      <c r="R16" s="32"/>
      <c r="S16" s="32"/>
      <c r="T16" s="32"/>
      <c r="U16" s="34"/>
      <c r="V16" s="32"/>
      <c r="W16" s="31"/>
      <c r="X16" s="32"/>
      <c r="Y16" s="32"/>
      <c r="Z16" s="32"/>
      <c r="AA16" s="34"/>
      <c r="AB16" s="32"/>
      <c r="AC16" s="31"/>
      <c r="AD16" s="32"/>
      <c r="AE16" s="32"/>
      <c r="AF16" s="32"/>
      <c r="AG16" s="34"/>
      <c r="AH16" s="32"/>
      <c r="AI16" s="31"/>
      <c r="AJ16" s="32"/>
      <c r="AK16" s="32"/>
      <c r="AL16" s="32"/>
      <c r="AM16" s="34"/>
      <c r="AN16" s="32"/>
      <c r="AO16" s="31"/>
      <c r="AP16" s="32"/>
      <c r="AQ16" s="32"/>
      <c r="AR16" s="32"/>
      <c r="AS16" s="34"/>
    </row>
    <row r="17" spans="2:45" ht="15" thickBot="1" x14ac:dyDescent="0.35">
      <c r="B17" s="50"/>
      <c r="C17" s="82"/>
      <c r="D17" s="18"/>
      <c r="E17" s="17"/>
      <c r="F17" s="18"/>
      <c r="G17" s="18"/>
      <c r="H17" s="18"/>
      <c r="I17" s="26"/>
      <c r="J17" s="18"/>
      <c r="K17" s="17"/>
      <c r="L17" s="18"/>
      <c r="M17" s="18"/>
      <c r="N17" s="18"/>
      <c r="O17" s="26"/>
      <c r="P17" s="18"/>
      <c r="Q17" s="17"/>
      <c r="R17" s="18"/>
      <c r="S17" s="18"/>
      <c r="T17" s="18"/>
      <c r="U17" s="26"/>
      <c r="V17" s="18"/>
      <c r="W17" s="17"/>
      <c r="X17" s="18"/>
      <c r="Y17" s="18"/>
      <c r="Z17" s="18"/>
      <c r="AA17" s="26"/>
      <c r="AB17" s="18"/>
      <c r="AC17" s="17"/>
      <c r="AD17" s="18"/>
      <c r="AE17" s="18"/>
      <c r="AF17" s="18"/>
      <c r="AG17" s="26"/>
      <c r="AH17" s="18"/>
      <c r="AI17" s="17"/>
      <c r="AJ17" s="18"/>
      <c r="AK17" s="18"/>
      <c r="AL17" s="18"/>
      <c r="AM17" s="26"/>
      <c r="AN17" s="18"/>
      <c r="AO17" s="17"/>
      <c r="AP17" s="18"/>
      <c r="AQ17" s="18"/>
      <c r="AR17" s="18"/>
      <c r="AS17" s="26"/>
    </row>
    <row r="18" spans="2:45" x14ac:dyDescent="0.3">
      <c r="B18" s="49" t="s">
        <v>24</v>
      </c>
      <c r="C18" s="80"/>
      <c r="D18" s="15"/>
      <c r="E18" s="14"/>
      <c r="F18" s="15"/>
      <c r="G18" s="15"/>
      <c r="H18" s="15"/>
      <c r="I18" s="16"/>
      <c r="J18" s="15"/>
      <c r="K18" s="14"/>
      <c r="L18" s="15"/>
      <c r="M18" s="15"/>
      <c r="N18" s="15"/>
      <c r="O18" s="16"/>
      <c r="P18" s="15"/>
      <c r="Q18" s="14"/>
      <c r="R18" s="15"/>
      <c r="S18" s="15"/>
      <c r="T18" s="15"/>
      <c r="U18" s="16"/>
      <c r="V18" s="15"/>
      <c r="W18" s="14"/>
      <c r="X18" s="15"/>
      <c r="Y18" s="15"/>
      <c r="Z18" s="15"/>
      <c r="AA18" s="16"/>
      <c r="AB18" s="15"/>
      <c r="AC18" s="14"/>
      <c r="AD18" s="15"/>
      <c r="AE18" s="15"/>
      <c r="AF18" s="15"/>
      <c r="AG18" s="16"/>
      <c r="AH18" s="15"/>
      <c r="AI18" s="14"/>
      <c r="AJ18" s="15"/>
      <c r="AK18" s="15"/>
      <c r="AL18" s="15"/>
      <c r="AM18" s="16"/>
      <c r="AN18" s="15"/>
      <c r="AO18" s="14"/>
      <c r="AP18" s="15"/>
      <c r="AQ18" s="15"/>
      <c r="AR18" s="15"/>
      <c r="AS18" s="16"/>
    </row>
    <row r="19" spans="2:45" s="5" customFormat="1" x14ac:dyDescent="0.3">
      <c r="B19" s="87"/>
      <c r="C19" s="82" t="s">
        <v>12</v>
      </c>
      <c r="D19" s="21"/>
      <c r="E19" s="38">
        <f>E7+E13</f>
        <v>33.711117173358687</v>
      </c>
      <c r="F19" s="20">
        <f>F7+F13</f>
        <v>43.808307204525924</v>
      </c>
      <c r="G19" s="20">
        <f>G7+G13</f>
        <v>46.746465332399794</v>
      </c>
      <c r="H19" s="20">
        <f>H7+H13</f>
        <v>53.634110289715593</v>
      </c>
      <c r="I19" s="22">
        <f>I13+I7</f>
        <v>177.9</v>
      </c>
      <c r="J19" s="21"/>
      <c r="K19" s="27">
        <f>K7+K13</f>
        <v>57.3</v>
      </c>
      <c r="L19" s="21">
        <f>L7+L13</f>
        <v>74.5</v>
      </c>
      <c r="M19" s="21">
        <f>M7+M13</f>
        <v>79.599999999999994</v>
      </c>
      <c r="N19" s="21">
        <f>N7+N13</f>
        <v>91.199999999999989</v>
      </c>
      <c r="O19" s="22">
        <f>SUM(K19:N19)</f>
        <v>302.60000000000002</v>
      </c>
      <c r="P19" s="21"/>
      <c r="Q19" s="27">
        <f>Q7+Q13</f>
        <v>86.3</v>
      </c>
      <c r="R19" s="21">
        <f>R7+R13</f>
        <v>105.9</v>
      </c>
      <c r="S19" s="21">
        <f>S7+S13</f>
        <v>111.9</v>
      </c>
      <c r="T19" s="21">
        <f>T7+T13</f>
        <v>116.9</v>
      </c>
      <c r="U19" s="22">
        <f>SUM(Q19:T19)</f>
        <v>421</v>
      </c>
      <c r="V19" s="21"/>
      <c r="W19" s="27">
        <f>W7+W13</f>
        <v>150.1</v>
      </c>
      <c r="X19" s="21">
        <f>X7+X13</f>
        <v>167.67500000000001</v>
      </c>
      <c r="Y19" s="21">
        <f>Y7+Y13</f>
        <v>187.03695000000002</v>
      </c>
      <c r="Z19" s="21">
        <f>Z7+Z13</f>
        <v>207.13554900000003</v>
      </c>
      <c r="AA19" s="22">
        <f>SUM(W19:Z19)</f>
        <v>711.94749900000011</v>
      </c>
      <c r="AB19" s="21"/>
      <c r="AC19" s="27">
        <f>AC7+AC13</f>
        <v>229.04174682000007</v>
      </c>
      <c r="AD19" s="21">
        <f>AD7+AD13</f>
        <v>251.45241936660008</v>
      </c>
      <c r="AE19" s="21">
        <f>AE7+AE13</f>
        <v>275.60602285414211</v>
      </c>
      <c r="AF19" s="21">
        <f>AF7+AF13</f>
        <v>299.92868072766521</v>
      </c>
      <c r="AG19" s="22">
        <f>SUM(AC19:AF19)</f>
        <v>1056.0288697684075</v>
      </c>
      <c r="AH19" s="21"/>
      <c r="AI19" s="27">
        <f>AI7+AI13</f>
        <v>325.83328306383942</v>
      </c>
      <c r="AJ19" s="21">
        <f>AJ7+AJ13</f>
        <v>351.46886853769053</v>
      </c>
      <c r="AK19" s="21">
        <f>AK7+AK13</f>
        <v>378.42537967176469</v>
      </c>
      <c r="AL19" s="21">
        <f>AL7+AL13</f>
        <v>404.58298161217635</v>
      </c>
      <c r="AM19" s="22">
        <f>SUM(AI19:AL19)</f>
        <v>1460.3105128854709</v>
      </c>
      <c r="AN19" s="21"/>
      <c r="AO19" s="27">
        <f>AO7+AO13</f>
        <v>431.70592581599425</v>
      </c>
      <c r="AP19" s="21">
        <f>AP7+AP13</f>
        <v>457.43026501976084</v>
      </c>
      <c r="AQ19" s="21">
        <f>AQ7+AQ13</f>
        <v>483.68544585209924</v>
      </c>
      <c r="AR19" s="21">
        <f>AR7+AR13</f>
        <v>507.9053450033278</v>
      </c>
      <c r="AS19" s="22">
        <f>SUM(AO19:AR19)</f>
        <v>1880.7269816911821</v>
      </c>
    </row>
    <row r="20" spans="2:45" s="4" customFormat="1" x14ac:dyDescent="0.3">
      <c r="B20" s="84"/>
      <c r="C20" s="85" t="s">
        <v>26</v>
      </c>
      <c r="D20" s="24"/>
      <c r="E20" s="23">
        <v>0</v>
      </c>
      <c r="F20" s="24">
        <v>0</v>
      </c>
      <c r="G20" s="24">
        <v>0</v>
      </c>
      <c r="H20" s="24">
        <v>0</v>
      </c>
      <c r="I20" s="25">
        <v>0</v>
      </c>
      <c r="J20" s="24"/>
      <c r="K20" s="23">
        <f>(K19-E19)/E19</f>
        <v>0.69973601602509916</v>
      </c>
      <c r="L20" s="24">
        <f t="shared" ref="L20" si="14">(L19-F19)/F19</f>
        <v>0.70059070422842673</v>
      </c>
      <c r="M20" s="24">
        <f t="shared" ref="M20" si="15">(M19-G19)/G19</f>
        <v>0.70280254205293979</v>
      </c>
      <c r="N20" s="24">
        <f t="shared" ref="N20" si="16">(N19-H19)/H19</f>
        <v>0.70041041992427155</v>
      </c>
      <c r="O20" s="25">
        <f t="shared" ref="O20" si="17">(O19-I19)/I19</f>
        <v>0.70095559302979205</v>
      </c>
      <c r="P20" s="24"/>
      <c r="Q20" s="23">
        <f>(Q19-K19)/K19</f>
        <v>0.50610820244328103</v>
      </c>
      <c r="R20" s="24">
        <f t="shared" ref="R20" si="18">(R19-L19)/L19</f>
        <v>0.42147651006711417</v>
      </c>
      <c r="S20" s="24">
        <f t="shared" ref="S20" si="19">(S19-M19)/M19</f>
        <v>0.40577889447236198</v>
      </c>
      <c r="T20" s="24">
        <f t="shared" ref="T20" si="20">(T19-N19)/N19</f>
        <v>0.28179824561403533</v>
      </c>
      <c r="U20" s="25">
        <f t="shared" ref="U20" si="21">(U19-O19)/O19</f>
        <v>0.39127561136814265</v>
      </c>
      <c r="V20" s="24"/>
      <c r="W20" s="23">
        <f>(W19-Q19)/Q19</f>
        <v>0.73928157589803012</v>
      </c>
      <c r="X20" s="24">
        <f t="shared" ref="X20" si="22">(X19-R19)/R19</f>
        <v>0.58333333333333337</v>
      </c>
      <c r="Y20" s="24">
        <f t="shared" ref="Y20" si="23">(Y19-S19)/S19</f>
        <v>0.67146514745308317</v>
      </c>
      <c r="Z20" s="24">
        <f t="shared" ref="Z20" si="24">(Z19-T19)/T19</f>
        <v>0.77190375534645006</v>
      </c>
      <c r="AA20" s="25">
        <f t="shared" ref="AA20" si="25">(AA19-U19)/U19</f>
        <v>0.69108669596199546</v>
      </c>
      <c r="AB20" s="24"/>
      <c r="AC20" s="23">
        <f>(AC19-W19)/W19</f>
        <v>0.52592769367088665</v>
      </c>
      <c r="AD20" s="24">
        <f t="shared" ref="AD20" si="26">(AD19-X19)/X19</f>
        <v>0.49964168401133185</v>
      </c>
      <c r="AE20" s="24">
        <f t="shared" ref="AE20" si="27">(AE19-Y19)/Y19</f>
        <v>0.47353783759915935</v>
      </c>
      <c r="AF20" s="24">
        <f t="shared" ref="AF20" si="28">(AF19-Z19)/Z19</f>
        <v>0.44798264795998477</v>
      </c>
      <c r="AG20" s="25">
        <f t="shared" ref="AG20" si="29">(AG19-AA19)/AA19</f>
        <v>0.48329598917294231</v>
      </c>
      <c r="AH20" s="24"/>
      <c r="AI20" s="23">
        <f>(AI19-AC19)/AC19</f>
        <v>0.42259342494408292</v>
      </c>
      <c r="AJ20" s="24">
        <f t="shared" ref="AJ20" si="30">(AJ19-AD19)/AD19</f>
        <v>0.39775496860610215</v>
      </c>
      <c r="AK20" s="24">
        <f t="shared" ref="AK20" si="31">(AK19-AE19)/AE19</f>
        <v>0.3730664364763801</v>
      </c>
      <c r="AL20" s="24">
        <f t="shared" ref="AL20" si="32">(AL19-AF19)/AF19</f>
        <v>0.34893062120837015</v>
      </c>
      <c r="AM20" s="25">
        <f t="shared" ref="AM20" si="33">(AM19-AG19)/AG19</f>
        <v>0.38283199890711739</v>
      </c>
      <c r="AN20" s="24"/>
      <c r="AO20" s="23">
        <f>(AO19-AI19)/AI19</f>
        <v>0.32492887699078782</v>
      </c>
      <c r="AP20" s="24">
        <f t="shared" ref="AP20" si="34">(AP19-AJ19)/AJ19</f>
        <v>0.30148159899034505</v>
      </c>
      <c r="AQ20" s="24">
        <f t="shared" ref="AQ20" si="35">(AQ19-AK19)/AK19</f>
        <v>0.27815276626434016</v>
      </c>
      <c r="AR20" s="24">
        <f t="shared" ref="AR20" si="36">(AR19-AL19)/AL19</f>
        <v>0.25537990495654067</v>
      </c>
      <c r="AS20" s="25">
        <f t="shared" ref="AS20" si="37">(AS19-AM19)/AM19</f>
        <v>0.28789525590348441</v>
      </c>
    </row>
    <row r="21" spans="2:45" s="13" customFormat="1" x14ac:dyDescent="0.3">
      <c r="B21" s="88"/>
      <c r="C21" s="85" t="s">
        <v>25</v>
      </c>
      <c r="D21" s="28"/>
      <c r="E21" s="23">
        <v>0</v>
      </c>
      <c r="F21" s="24">
        <f>F19/E19-1</f>
        <v>0.29952107428664121</v>
      </c>
      <c r="G21" s="24">
        <f t="shared" ref="G21:H21" si="38">G19/F19-1</f>
        <v>6.706851543376513E-2</v>
      </c>
      <c r="H21" s="24">
        <f t="shared" si="38"/>
        <v>0.14734044399592272</v>
      </c>
      <c r="I21" s="30"/>
      <c r="J21" s="29"/>
      <c r="K21" s="23">
        <f>K19/H19-1</f>
        <v>6.8349967781368148E-2</v>
      </c>
      <c r="L21" s="24">
        <f>L19/K19-1</f>
        <v>0.30017452006980805</v>
      </c>
      <c r="M21" s="24">
        <f t="shared" ref="M21:N21" si="39">M19/L19-1</f>
        <v>6.8456375838926053E-2</v>
      </c>
      <c r="N21" s="24">
        <f t="shared" si="39"/>
        <v>0.14572864321608026</v>
      </c>
      <c r="O21" s="30"/>
      <c r="P21" s="29"/>
      <c r="Q21" s="23">
        <f>Q19/N19-1</f>
        <v>-5.3728070175438458E-2</v>
      </c>
      <c r="R21" s="24">
        <f>R19/Q19-1</f>
        <v>0.22711471610660494</v>
      </c>
      <c r="S21" s="24">
        <f t="shared" ref="S21:T21" si="40">S19/R19-1</f>
        <v>5.6657223796033884E-2</v>
      </c>
      <c r="T21" s="24">
        <f t="shared" si="40"/>
        <v>4.4682752457551489E-2</v>
      </c>
      <c r="U21" s="45"/>
      <c r="V21" s="29"/>
      <c r="W21" s="23">
        <f>W19/T19-1</f>
        <v>0.28400342172797255</v>
      </c>
      <c r="X21" s="24">
        <f>X19/W19-1</f>
        <v>0.11708860759493689</v>
      </c>
      <c r="Y21" s="24">
        <f t="shared" ref="Y21:Z21" si="41">Y19/X19-1</f>
        <v>0.11547308781869692</v>
      </c>
      <c r="Z21" s="24">
        <f t="shared" si="41"/>
        <v>0.10745790604476824</v>
      </c>
      <c r="AA21" s="30"/>
      <c r="AB21" s="29"/>
      <c r="AC21" s="23">
        <f>AC19/Z19-1</f>
        <v>0.10575778964913485</v>
      </c>
      <c r="AD21" s="24">
        <f>AD19/AC19-1</f>
        <v>9.7845361632751482E-2</v>
      </c>
      <c r="AE21" s="24">
        <f t="shared" ref="AE21:AF21" si="42">AE19/AD19-1</f>
        <v>9.6056357494527678E-2</v>
      </c>
      <c r="AF21" s="24">
        <f t="shared" si="42"/>
        <v>8.8251546978693085E-2</v>
      </c>
      <c r="AG21" s="30"/>
      <c r="AH21" s="29"/>
      <c r="AI21" s="23">
        <f>AI19/AF19-1</f>
        <v>8.6369207083918598E-2</v>
      </c>
      <c r="AJ21" s="24">
        <f>AJ19/AI19-1</f>
        <v>7.8677000804820763E-2</v>
      </c>
      <c r="AK21" s="24">
        <f t="shared" ref="AK21:AL21" si="43">AK19/AJ19-1</f>
        <v>7.6696724936773153E-2</v>
      </c>
      <c r="AL21" s="24">
        <f t="shared" si="43"/>
        <v>6.9122218924904111E-2</v>
      </c>
      <c r="AM21" s="30"/>
      <c r="AN21" s="29"/>
      <c r="AO21" s="23">
        <f>AO19/AL19-1</f>
        <v>6.7039261255475324E-2</v>
      </c>
      <c r="AP21" s="24">
        <f>AP19/AO19-1</f>
        <v>5.9587644425179942E-2</v>
      </c>
      <c r="AQ21" s="24">
        <f t="shared" ref="AQ21:AR21" si="44">AQ19/AP19-1</f>
        <v>5.7397122228465047E-2</v>
      </c>
      <c r="AR21" s="24">
        <f t="shared" si="44"/>
        <v>5.0073657082157608E-2</v>
      </c>
      <c r="AS21" s="30"/>
    </row>
    <row r="22" spans="2:45" ht="15" thickBot="1" x14ac:dyDescent="0.35">
      <c r="B22" s="53"/>
      <c r="C22" s="86" t="s">
        <v>22</v>
      </c>
      <c r="D22" s="32"/>
      <c r="E22" s="40">
        <v>1.4</v>
      </c>
      <c r="F22" s="33">
        <v>1.6</v>
      </c>
      <c r="G22" s="33">
        <v>1.8</v>
      </c>
      <c r="H22" s="33">
        <v>1.9</v>
      </c>
      <c r="I22" s="41" t="s">
        <v>23</v>
      </c>
      <c r="J22" s="33"/>
      <c r="K22" s="40">
        <v>2.1</v>
      </c>
      <c r="L22" s="33">
        <v>2.4</v>
      </c>
      <c r="M22" s="33">
        <v>2.6</v>
      </c>
      <c r="N22" s="33">
        <v>2.8</v>
      </c>
      <c r="O22" s="41" t="s">
        <v>23</v>
      </c>
      <c r="P22" s="33"/>
      <c r="Q22" s="40">
        <v>2.8</v>
      </c>
      <c r="R22" s="33">
        <v>3.2</v>
      </c>
      <c r="S22" s="33">
        <v>3.4</v>
      </c>
      <c r="T22" s="33">
        <v>3.5</v>
      </c>
      <c r="U22" s="41" t="s">
        <v>23</v>
      </c>
      <c r="V22" s="32"/>
      <c r="W22" s="31"/>
      <c r="X22" s="32"/>
      <c r="Y22" s="32"/>
      <c r="Z22" s="32"/>
      <c r="AA22" s="34" t="s">
        <v>23</v>
      </c>
      <c r="AB22" s="32"/>
      <c r="AC22" s="31"/>
      <c r="AD22" s="32"/>
      <c r="AE22" s="32"/>
      <c r="AF22" s="32"/>
      <c r="AG22" s="34" t="s">
        <v>23</v>
      </c>
      <c r="AH22" s="32"/>
      <c r="AI22" s="31"/>
      <c r="AJ22" s="32"/>
      <c r="AK22" s="32"/>
      <c r="AL22" s="32"/>
      <c r="AM22" s="34" t="s">
        <v>23</v>
      </c>
      <c r="AN22" s="32"/>
      <c r="AO22" s="31"/>
      <c r="AP22" s="32"/>
      <c r="AQ22" s="32"/>
      <c r="AR22" s="32"/>
      <c r="AS22" s="34" t="s">
        <v>23</v>
      </c>
    </row>
    <row r="24" spans="2:45" ht="15" thickBot="1" x14ac:dyDescent="0.35"/>
    <row r="25" spans="2:45" x14ac:dyDescent="0.3">
      <c r="B25" s="49" t="s">
        <v>156</v>
      </c>
      <c r="C25" s="15"/>
      <c r="D25" s="16"/>
      <c r="E25" s="14">
        <v>2019</v>
      </c>
      <c r="F25" s="15">
        <v>2020</v>
      </c>
      <c r="G25" s="16">
        <v>2021</v>
      </c>
    </row>
    <row r="26" spans="2:45" x14ac:dyDescent="0.3">
      <c r="B26" s="17"/>
      <c r="C26" s="60"/>
      <c r="D26" s="61"/>
      <c r="E26" s="35" t="s">
        <v>19</v>
      </c>
      <c r="F26" s="36" t="s">
        <v>19</v>
      </c>
      <c r="G26" s="37" t="s">
        <v>19</v>
      </c>
    </row>
    <row r="27" spans="2:45" ht="15" thickBot="1" x14ac:dyDescent="0.35">
      <c r="B27" s="17"/>
      <c r="C27" s="60"/>
      <c r="D27" s="61"/>
      <c r="E27" s="31"/>
      <c r="F27" s="62"/>
      <c r="G27" s="63"/>
    </row>
    <row r="28" spans="2:45" x14ac:dyDescent="0.3">
      <c r="B28" s="50"/>
      <c r="C28" s="83" t="s">
        <v>157</v>
      </c>
      <c r="D28" s="61"/>
      <c r="E28" s="102">
        <v>49.7</v>
      </c>
      <c r="F28" s="102">
        <v>94.5</v>
      </c>
      <c r="G28" s="67">
        <v>136.30000000000001</v>
      </c>
    </row>
    <row r="29" spans="2:45" s="3" customFormat="1" x14ac:dyDescent="0.3">
      <c r="B29" s="35"/>
      <c r="C29" s="36" t="s">
        <v>162</v>
      </c>
      <c r="D29" s="37"/>
      <c r="E29" s="36"/>
      <c r="F29" s="24">
        <f>F28/E28-1</f>
        <v>0.90140845070422526</v>
      </c>
      <c r="G29" s="25">
        <f>G28/F28-1</f>
        <v>0.44232804232804246</v>
      </c>
      <c r="U29" s="93"/>
    </row>
    <row r="30" spans="2:45" x14ac:dyDescent="0.3">
      <c r="B30" s="17"/>
      <c r="C30" s="83" t="s">
        <v>158</v>
      </c>
      <c r="D30" s="61"/>
      <c r="E30" s="102">
        <v>51</v>
      </c>
      <c r="F30" s="102">
        <v>72.7</v>
      </c>
      <c r="G30" s="67">
        <v>95.8</v>
      </c>
    </row>
    <row r="31" spans="2:45" s="3" customFormat="1" x14ac:dyDescent="0.3">
      <c r="B31" s="35"/>
      <c r="C31" s="36" t="s">
        <v>162</v>
      </c>
      <c r="D31" s="37"/>
      <c r="E31" s="36"/>
      <c r="F31" s="24">
        <f>F30/E30-1</f>
        <v>0.42549019607843142</v>
      </c>
      <c r="G31" s="25">
        <f>G30/F30-1</f>
        <v>0.31774415405777168</v>
      </c>
      <c r="U31" s="93"/>
    </row>
    <row r="32" spans="2:45" x14ac:dyDescent="0.3">
      <c r="B32" s="50"/>
      <c r="C32" s="83" t="s">
        <v>159</v>
      </c>
      <c r="D32" s="61"/>
      <c r="E32" s="102">
        <v>24.4</v>
      </c>
      <c r="F32" s="102">
        <v>47.4</v>
      </c>
      <c r="G32" s="67">
        <v>89.2</v>
      </c>
    </row>
    <row r="33" spans="2:21" s="3" customFormat="1" x14ac:dyDescent="0.3">
      <c r="B33" s="35"/>
      <c r="C33" s="36" t="s">
        <v>162</v>
      </c>
      <c r="D33" s="37"/>
      <c r="E33" s="36"/>
      <c r="F33" s="24">
        <f>F32/E32-1</f>
        <v>0.94262295081967218</v>
      </c>
      <c r="G33" s="25">
        <f>G32/F32-1</f>
        <v>0.8818565400843883</v>
      </c>
      <c r="U33" s="93"/>
    </row>
    <row r="34" spans="2:21" x14ac:dyDescent="0.3">
      <c r="B34" s="50"/>
      <c r="C34" s="83" t="s">
        <v>160</v>
      </c>
      <c r="D34" s="61"/>
      <c r="E34" s="102">
        <v>39</v>
      </c>
      <c r="F34" s="102">
        <v>62.9</v>
      </c>
      <c r="G34" s="67">
        <v>73</v>
      </c>
    </row>
    <row r="35" spans="2:21" s="3" customFormat="1" x14ac:dyDescent="0.3">
      <c r="B35" s="35"/>
      <c r="C35" s="36" t="s">
        <v>162</v>
      </c>
      <c r="D35" s="37"/>
      <c r="E35" s="36"/>
      <c r="F35" s="24">
        <f>F34/E34-1</f>
        <v>0.61282051282051286</v>
      </c>
      <c r="G35" s="25">
        <f>G34/F34-1</f>
        <v>0.16057233704292528</v>
      </c>
      <c r="J35" s="3" t="s">
        <v>163</v>
      </c>
      <c r="U35" s="93"/>
    </row>
    <row r="36" spans="2:21" x14ac:dyDescent="0.3">
      <c r="B36" s="50"/>
      <c r="C36" s="83" t="s">
        <v>161</v>
      </c>
      <c r="D36" s="61"/>
      <c r="E36" s="102">
        <v>13.8</v>
      </c>
      <c r="F36" s="102">
        <v>25.1</v>
      </c>
      <c r="G36" s="67">
        <v>26.7</v>
      </c>
    </row>
    <row r="37" spans="2:21" s="3" customFormat="1" ht="15" thickBot="1" x14ac:dyDescent="0.35">
      <c r="B37" s="35"/>
      <c r="C37" s="36" t="s">
        <v>162</v>
      </c>
      <c r="D37" s="37"/>
      <c r="E37" s="94"/>
      <c r="F37" s="95">
        <f>F36/E36-1</f>
        <v>0.81884057971014501</v>
      </c>
      <c r="G37" s="96">
        <f>G36/F36-1</f>
        <v>6.3745019920318668E-2</v>
      </c>
      <c r="U37" s="93"/>
    </row>
    <row r="38" spans="2:21" ht="15" thickTop="1" x14ac:dyDescent="0.3">
      <c r="B38" s="50" t="s">
        <v>24</v>
      </c>
      <c r="C38" s="83"/>
      <c r="D38" s="61"/>
      <c r="E38" s="102">
        <f>E28+E30+E32+E34+E36</f>
        <v>177.9</v>
      </c>
      <c r="F38" s="102">
        <f>F28+F30+F32+F34+F36</f>
        <v>302.60000000000002</v>
      </c>
      <c r="G38" s="67">
        <f>G28+G30+G32+G34+G36</f>
        <v>421</v>
      </c>
    </row>
    <row r="39" spans="2:21" s="3" customFormat="1" ht="15" thickBot="1" x14ac:dyDescent="0.35">
      <c r="B39" s="97"/>
      <c r="C39" s="98"/>
      <c r="D39" s="101"/>
      <c r="E39" s="98"/>
      <c r="F39" s="99">
        <f>F38/E38-1</f>
        <v>0.70095559302979216</v>
      </c>
      <c r="G39" s="100">
        <f>G38/F38-1</f>
        <v>0.3912756113681426</v>
      </c>
      <c r="U39" s="93"/>
    </row>
    <row r="40" spans="2:21" x14ac:dyDescent="0.3">
      <c r="B40" t="s">
        <v>20</v>
      </c>
    </row>
    <row r="41" spans="2:21" x14ac:dyDescent="0.3">
      <c r="B41" t="s">
        <v>21</v>
      </c>
    </row>
    <row r="44" spans="2:21" x14ac:dyDescent="0.3">
      <c r="B44" t="s">
        <v>0</v>
      </c>
      <c r="E44">
        <v>994590000</v>
      </c>
      <c r="F44" s="1">
        <f>E44*1028.5</f>
        <v>1022935815000</v>
      </c>
    </row>
    <row r="47" spans="2:21" x14ac:dyDescent="0.3">
      <c r="B47" t="s">
        <v>14</v>
      </c>
    </row>
  </sheetData>
  <mergeCells count="7">
    <mergeCell ref="AC2:AG2"/>
    <mergeCell ref="AI2:AM2"/>
    <mergeCell ref="AO2:AS2"/>
    <mergeCell ref="E2:I2"/>
    <mergeCell ref="K2:O2"/>
    <mergeCell ref="Q2:U2"/>
    <mergeCell ref="W2:AA2"/>
  </mergeCells>
  <pageMargins left="0.7" right="0.7" top="0.75" bottom="0.75" header="0.3" footer="0.3"/>
  <pageSetup paperSize="9" orientation="portrait" r:id="rId1"/>
  <ignoredErrors>
    <ignoredError sqref="F38:G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708B-499F-4DF8-8411-C0B9F724CBAF}">
  <dimension ref="B1:K58"/>
  <sheetViews>
    <sheetView showGridLines="0" zoomScale="80" zoomScaleNormal="80" workbookViewId="0">
      <selection activeCell="P16" sqref="P16"/>
    </sheetView>
  </sheetViews>
  <sheetFormatPr defaultRowHeight="14.4" x14ac:dyDescent="0.3"/>
  <cols>
    <col min="2" max="2" width="4.5546875" customWidth="1"/>
    <col min="3" max="3" width="50.44140625" customWidth="1"/>
    <col min="4" max="4" width="4.77734375" customWidth="1"/>
    <col min="5" max="5" width="14.88671875" bestFit="1" customWidth="1"/>
    <col min="6" max="6" width="15.88671875" bestFit="1" customWidth="1"/>
    <col min="7" max="7" width="14.88671875" bestFit="1" customWidth="1"/>
    <col min="8" max="8" width="12.21875" customWidth="1"/>
    <col min="9" max="10" width="12.21875" bestFit="1" customWidth="1"/>
    <col min="11" max="11" width="12.21875" customWidth="1"/>
  </cols>
  <sheetData>
    <row r="1" spans="2:11" ht="15" thickBot="1" x14ac:dyDescent="0.35"/>
    <row r="2" spans="2:11" x14ac:dyDescent="0.3">
      <c r="B2" s="14" t="s">
        <v>164</v>
      </c>
      <c r="C2" s="16"/>
      <c r="D2" s="54"/>
      <c r="E2" s="126">
        <v>2019</v>
      </c>
      <c r="F2" s="127">
        <v>2020</v>
      </c>
      <c r="G2" s="127">
        <v>2021</v>
      </c>
      <c r="H2" s="128" t="s">
        <v>48</v>
      </c>
      <c r="I2" s="128" t="s">
        <v>49</v>
      </c>
      <c r="J2" s="128" t="s">
        <v>50</v>
      </c>
      <c r="K2" s="129" t="s">
        <v>51</v>
      </c>
    </row>
    <row r="3" spans="2:11" ht="15" thickBot="1" x14ac:dyDescent="0.35">
      <c r="B3" s="31"/>
      <c r="C3" s="63"/>
      <c r="D3" s="55"/>
      <c r="E3" s="97" t="s">
        <v>19</v>
      </c>
      <c r="F3" s="98" t="s">
        <v>19</v>
      </c>
      <c r="G3" s="98" t="s">
        <v>19</v>
      </c>
      <c r="H3" s="98" t="s">
        <v>19</v>
      </c>
      <c r="I3" s="98" t="s">
        <v>19</v>
      </c>
      <c r="J3" s="98" t="s">
        <v>19</v>
      </c>
      <c r="K3" s="101" t="s">
        <v>19</v>
      </c>
    </row>
    <row r="4" spans="2:11" s="1" customFormat="1" x14ac:dyDescent="0.3">
      <c r="B4" s="103" t="s">
        <v>12</v>
      </c>
      <c r="C4" s="104"/>
      <c r="D4" s="103"/>
      <c r="E4" s="173">
        <f>'Revenue sheet'!I19</f>
        <v>177.9</v>
      </c>
      <c r="F4" s="174">
        <f>'Revenue sheet'!O19</f>
        <v>302.60000000000002</v>
      </c>
      <c r="G4" s="174">
        <f>'Revenue sheet'!U19</f>
        <v>421</v>
      </c>
      <c r="H4" s="174">
        <f>'Revenue sheet'!AA19</f>
        <v>711.94749900000011</v>
      </c>
      <c r="I4" s="174">
        <f>'Revenue sheet'!AG19</f>
        <v>1056.0288697684075</v>
      </c>
      <c r="J4" s="174">
        <f>'Revenue sheet'!AM19</f>
        <v>1460.3105128854709</v>
      </c>
      <c r="K4" s="175">
        <f>'Revenue sheet'!AS19</f>
        <v>1880.7269816911821</v>
      </c>
    </row>
    <row r="5" spans="2:11" s="3" customFormat="1" x14ac:dyDescent="0.3">
      <c r="B5" s="35"/>
      <c r="C5" s="37" t="s">
        <v>43</v>
      </c>
      <c r="D5" s="35"/>
      <c r="E5" s="109">
        <v>0</v>
      </c>
      <c r="F5" s="110">
        <f>(F4-E4)/E4</f>
        <v>0.70095559302979205</v>
      </c>
      <c r="G5" s="110">
        <f t="shared" ref="G5:K5" si="0">(G4-F4)/F4</f>
        <v>0.39127561136814265</v>
      </c>
      <c r="H5" s="110">
        <f t="shared" si="0"/>
        <v>0.69108669596199546</v>
      </c>
      <c r="I5" s="110">
        <f t="shared" si="0"/>
        <v>0.48329598917294231</v>
      </c>
      <c r="J5" s="110">
        <f t="shared" si="0"/>
        <v>0.38283199890711739</v>
      </c>
      <c r="K5" s="106">
        <f t="shared" si="0"/>
        <v>0.28789525590348441</v>
      </c>
    </row>
    <row r="6" spans="2:11" x14ac:dyDescent="0.3">
      <c r="B6" s="17"/>
      <c r="C6" s="61"/>
      <c r="D6" s="17"/>
      <c r="E6" s="17"/>
      <c r="F6" s="153"/>
      <c r="G6" s="153"/>
      <c r="H6" s="153"/>
      <c r="I6" s="153"/>
      <c r="J6" s="153"/>
      <c r="K6" s="154"/>
    </row>
    <row r="7" spans="2:11" s="1" customFormat="1" x14ac:dyDescent="0.3">
      <c r="B7" s="103"/>
      <c r="C7" s="104" t="s">
        <v>27</v>
      </c>
      <c r="D7" s="103"/>
      <c r="E7" s="111">
        <v>-66.5</v>
      </c>
      <c r="F7" s="112">
        <v>-111.4</v>
      </c>
      <c r="G7" s="112">
        <v>-151.69999999999999</v>
      </c>
      <c r="H7" s="113">
        <f>G7/(G7+G8)*(H4-H9)</f>
        <v>255.49341223299024</v>
      </c>
      <c r="I7" s="113">
        <f t="shared" ref="I7:K7" si="1">H7/(H7+H8)*(I4-I9)</f>
        <v>379.05765765675568</v>
      </c>
      <c r="J7" s="113">
        <f t="shared" si="1"/>
        <v>524.80851810626723</v>
      </c>
      <c r="K7" s="104">
        <f t="shared" si="1"/>
        <v>675.3021565331577</v>
      </c>
    </row>
    <row r="8" spans="2:11" s="1" customFormat="1" x14ac:dyDescent="0.3">
      <c r="B8" s="103"/>
      <c r="C8" s="104" t="s">
        <v>28</v>
      </c>
      <c r="D8" s="103"/>
      <c r="E8" s="111">
        <v>-1</v>
      </c>
      <c r="F8" s="112">
        <v>-3.1</v>
      </c>
      <c r="G8" s="112">
        <v>-8.8000000000000007</v>
      </c>
      <c r="H8" s="113">
        <f>G8/(G7+G8)*(H4-H9)</f>
        <v>14.820975792025804</v>
      </c>
      <c r="I8" s="113">
        <f t="shared" ref="I8:K8" si="2">H8/(H7+H8)*(I4-I9)</f>
        <v>21.988842369014179</v>
      </c>
      <c r="J8" s="113">
        <f t="shared" si="2"/>
        <v>30.443737372018148</v>
      </c>
      <c r="K8" s="104">
        <f t="shared" si="2"/>
        <v>39.173757267579361</v>
      </c>
    </row>
    <row r="9" spans="2:11" s="1" customFormat="1" x14ac:dyDescent="0.3">
      <c r="B9" s="103" t="s">
        <v>29</v>
      </c>
      <c r="C9" s="104"/>
      <c r="D9" s="103"/>
      <c r="E9" s="103">
        <f>E4+SUM(E7:E8)</f>
        <v>110.4</v>
      </c>
      <c r="F9" s="113">
        <f t="shared" ref="F9" si="3">F4+SUM(F7:F8)</f>
        <v>188.10000000000002</v>
      </c>
      <c r="G9" s="113">
        <f>G4+SUM(G7:G8)</f>
        <v>260.5</v>
      </c>
      <c r="H9" s="113">
        <f>H4*H10</f>
        <v>441.63311097498405</v>
      </c>
      <c r="I9" s="113">
        <f t="shared" ref="I9:K9" si="4">I4*I10</f>
        <v>654.98236974263762</v>
      </c>
      <c r="J9" s="113">
        <f t="shared" si="4"/>
        <v>905.05825740718547</v>
      </c>
      <c r="K9" s="104">
        <f t="shared" si="4"/>
        <v>1166.251067890445</v>
      </c>
    </row>
    <row r="10" spans="2:11" s="3" customFormat="1" x14ac:dyDescent="0.3">
      <c r="B10" s="35"/>
      <c r="C10" s="37" t="s">
        <v>45</v>
      </c>
      <c r="D10" s="35"/>
      <c r="E10" s="105">
        <f t="shared" ref="E10:F10" si="5">E9/E4</f>
        <v>0.62057335581787521</v>
      </c>
      <c r="F10" s="110">
        <f t="shared" si="5"/>
        <v>0.62161269001982822</v>
      </c>
      <c r="G10" s="110">
        <f>G9/G4</f>
        <v>0.61876484560570066</v>
      </c>
      <c r="H10" s="46">
        <f>AVERAGE(E10:G10)</f>
        <v>0.62031696381446799</v>
      </c>
      <c r="I10" s="46">
        <f t="shared" ref="I10:K10" si="6">AVERAGE(F10:H10)</f>
        <v>0.62023149981333237</v>
      </c>
      <c r="J10" s="46">
        <f t="shared" si="6"/>
        <v>0.61977110307783378</v>
      </c>
      <c r="K10" s="47">
        <f t="shared" si="6"/>
        <v>0.62010652223521134</v>
      </c>
    </row>
    <row r="11" spans="2:11" s="3" customFormat="1" x14ac:dyDescent="0.3">
      <c r="B11" s="35"/>
      <c r="C11" s="37">
        <v>-1</v>
      </c>
      <c r="D11" s="35"/>
      <c r="E11" s="105"/>
      <c r="F11" s="110"/>
      <c r="G11" s="110"/>
      <c r="H11" s="46"/>
      <c r="I11" s="46"/>
      <c r="J11" s="46"/>
      <c r="K11" s="47"/>
    </row>
    <row r="12" spans="2:11" s="3" customFormat="1" x14ac:dyDescent="0.3">
      <c r="B12" s="35"/>
      <c r="C12" s="104" t="s">
        <v>30</v>
      </c>
      <c r="D12" s="35"/>
      <c r="E12" s="162">
        <f>SUM(E13:E16)</f>
        <v>-99.5</v>
      </c>
      <c r="F12" s="163">
        <f>SUM(F13:F16)</f>
        <v>-168.6</v>
      </c>
      <c r="G12" s="163">
        <f>SUM(G13:G16)</f>
        <v>-217.5</v>
      </c>
      <c r="H12" s="163">
        <f>H17*H4+H15</f>
        <v>-300.84572789316144</v>
      </c>
      <c r="I12" s="163">
        <f>I17*I4+I15</f>
        <v>-433.67502938195167</v>
      </c>
      <c r="J12" s="163">
        <f>J17*J4+J15</f>
        <v>-593.30874625952117</v>
      </c>
      <c r="K12" s="176">
        <f>K17*K4+K15</f>
        <v>-751.25610671186871</v>
      </c>
    </row>
    <row r="13" spans="2:11" s="3" customFormat="1" x14ac:dyDescent="0.3">
      <c r="B13" s="35"/>
      <c r="C13" s="37" t="s">
        <v>171</v>
      </c>
      <c r="D13" s="35"/>
      <c r="E13" s="35">
        <v>-58.5</v>
      </c>
      <c r="F13" s="36">
        <v>-102.7</v>
      </c>
      <c r="G13" s="36">
        <v>-141.6</v>
      </c>
      <c r="H13" s="211">
        <f>G13/G$12*H$12</f>
        <v>-195.86094284906508</v>
      </c>
      <c r="I13" s="211">
        <f>H13/H$12*I$12</f>
        <v>-282.3373984390085</v>
      </c>
      <c r="J13" s="211">
        <f t="shared" ref="J13" si="7">I13/I$12*J$12</f>
        <v>-386.26445273723306</v>
      </c>
      <c r="K13" s="214">
        <f>J13/J$12*K$12</f>
        <v>-489.09363085241654</v>
      </c>
    </row>
    <row r="14" spans="2:11" s="3" customFormat="1" x14ac:dyDescent="0.3">
      <c r="B14" s="35"/>
      <c r="C14" s="37" t="s">
        <v>172</v>
      </c>
      <c r="D14" s="35"/>
      <c r="E14" s="35">
        <v>-46</v>
      </c>
      <c r="F14" s="36">
        <v>-60</v>
      </c>
      <c r="G14" s="36">
        <v>-73.7</v>
      </c>
      <c r="H14" s="211">
        <f>G14/G$12*H$12</f>
        <v>-101.94174779644138</v>
      </c>
      <c r="I14" s="211">
        <f t="shared" ref="I14:J14" si="8">H14/H$12*I$12</f>
        <v>-146.95103294459696</v>
      </c>
      <c r="J14" s="211">
        <f t="shared" si="8"/>
        <v>-201.04300965207682</v>
      </c>
      <c r="K14" s="214">
        <f>J14/J$12*K$12</f>
        <v>-254.56356351569988</v>
      </c>
    </row>
    <row r="15" spans="2:11" s="3" customFormat="1" x14ac:dyDescent="0.3">
      <c r="B15" s="35"/>
      <c r="C15" s="37" t="s">
        <v>173</v>
      </c>
      <c r="D15" s="35"/>
      <c r="E15" s="35">
        <v>-6.3</v>
      </c>
      <c r="F15" s="36">
        <v>-20.6</v>
      </c>
      <c r="G15" s="36">
        <v>-21.7</v>
      </c>
      <c r="H15" s="210">
        <f>'Balance Sheet'!G15*-1</f>
        <v>26.650121646838592</v>
      </c>
      <c r="I15" s="210">
        <f>'Balance Sheet'!H15*-1</f>
        <v>30.977673316147634</v>
      </c>
      <c r="J15" s="210">
        <f>'Balance Sheet'!I15*-1</f>
        <v>34.624774281231332</v>
      </c>
      <c r="K15" s="212">
        <f>'Balance Sheet'!J15*-1</f>
        <v>38.649225598427705</v>
      </c>
    </row>
    <row r="16" spans="2:11" s="3" customFormat="1" x14ac:dyDescent="0.3">
      <c r="B16" s="35"/>
      <c r="C16" s="37" t="s">
        <v>174</v>
      </c>
      <c r="D16" s="35"/>
      <c r="E16" s="35">
        <v>11.3</v>
      </c>
      <c r="F16" s="36">
        <v>14.7</v>
      </c>
      <c r="G16" s="36">
        <v>19.5</v>
      </c>
      <c r="H16" s="211">
        <f>G16/G$12*H$12</f>
        <v>26.972375604214474</v>
      </c>
      <c r="I16" s="211">
        <f t="shared" ref="I16:J16" si="9">H16/H$12*I$12</f>
        <v>38.881209530795665</v>
      </c>
      <c r="J16" s="211">
        <f t="shared" si="9"/>
        <v>53.193197940508796</v>
      </c>
      <c r="K16" s="214">
        <f>J16/J$12*K$12</f>
        <v>67.353995774167544</v>
      </c>
    </row>
    <row r="17" spans="2:11" x14ac:dyDescent="0.3">
      <c r="B17" s="17"/>
      <c r="C17" s="61" t="s">
        <v>196</v>
      </c>
      <c r="D17" s="17"/>
      <c r="E17" s="105">
        <f t="shared" ref="E17:F17" si="10">E12/(E4-E15)</f>
        <v>-0.54017372421281207</v>
      </c>
      <c r="F17" s="110">
        <f t="shared" si="10"/>
        <v>-0.52165841584158412</v>
      </c>
      <c r="G17" s="110">
        <f>G12/(G4-G15)</f>
        <v>-0.49130336571041339</v>
      </c>
      <c r="H17" s="28">
        <v>-0.46</v>
      </c>
      <c r="I17" s="28">
        <v>-0.44</v>
      </c>
      <c r="J17" s="28">
        <v>-0.43</v>
      </c>
      <c r="K17" s="158">
        <v>-0.42</v>
      </c>
    </row>
    <row r="18" spans="2:11" s="1" customFormat="1" x14ac:dyDescent="0.3">
      <c r="B18" s="103"/>
      <c r="C18" s="104" t="s">
        <v>31</v>
      </c>
      <c r="D18" s="103"/>
      <c r="E18" s="35">
        <v>0.9</v>
      </c>
      <c r="F18" s="36">
        <v>5.4</v>
      </c>
      <c r="G18" s="36">
        <v>1.9</v>
      </c>
      <c r="H18" s="113">
        <f>(H$4*H$21)*$G$18/($G$18:$G$20)*-1</f>
        <v>7.1194749900000014</v>
      </c>
      <c r="I18" s="113">
        <f t="shared" ref="I18:K18" si="11">(I$4*I$21)*$G$18/($G$18:$G$20)*-1</f>
        <v>10.560288697684076</v>
      </c>
      <c r="J18" s="113">
        <f t="shared" si="11"/>
        <v>14.603105128854709</v>
      </c>
      <c r="K18" s="104">
        <f t="shared" si="11"/>
        <v>18.807269816911823</v>
      </c>
    </row>
    <row r="19" spans="2:11" s="1" customFormat="1" x14ac:dyDescent="0.3">
      <c r="B19" s="103"/>
      <c r="C19" s="104" t="s">
        <v>32</v>
      </c>
      <c r="D19" s="103"/>
      <c r="E19" s="35">
        <v>0</v>
      </c>
      <c r="F19" s="36">
        <v>-1.3</v>
      </c>
      <c r="G19" s="36">
        <v>-3.8</v>
      </c>
      <c r="H19" s="113">
        <f t="shared" ref="H19:K20" si="12">(H$4*H$21)*$G$18/($G$18:$G$20)*-1</f>
        <v>-3.5597374950000007</v>
      </c>
      <c r="I19" s="113">
        <f t="shared" si="12"/>
        <v>-5.2801443488420379</v>
      </c>
      <c r="J19" s="113">
        <f t="shared" si="12"/>
        <v>-7.3015525644273547</v>
      </c>
      <c r="K19" s="104">
        <f t="shared" si="12"/>
        <v>-9.4036349084559117</v>
      </c>
    </row>
    <row r="20" spans="2:11" s="1" customFormat="1" x14ac:dyDescent="0.3">
      <c r="B20" s="103"/>
      <c r="C20" s="104" t="s">
        <v>33</v>
      </c>
      <c r="D20" s="103"/>
      <c r="E20" s="35">
        <v>0.4</v>
      </c>
      <c r="F20" s="36">
        <v>0.2</v>
      </c>
      <c r="G20" s="36">
        <v>3.8</v>
      </c>
      <c r="H20" s="113">
        <f t="shared" si="12"/>
        <v>3.5597374950000007</v>
      </c>
      <c r="I20" s="113">
        <f t="shared" si="12"/>
        <v>5.2801443488420379</v>
      </c>
      <c r="J20" s="113">
        <f t="shared" si="12"/>
        <v>7.3015525644273547</v>
      </c>
      <c r="K20" s="104">
        <f t="shared" si="12"/>
        <v>9.4036349084559117</v>
      </c>
    </row>
    <row r="21" spans="2:11" s="1" customFormat="1" x14ac:dyDescent="0.3">
      <c r="B21" s="103"/>
      <c r="C21" s="104" t="s">
        <v>44</v>
      </c>
      <c r="D21" s="103"/>
      <c r="E21" s="117">
        <f>SUM(E18:E20)/E4*-1</f>
        <v>-7.3074761101742554E-3</v>
      </c>
      <c r="F21" s="118">
        <f t="shared" ref="F21:G21" si="13">SUM(F18:F20)/F4*-1</f>
        <v>-1.4210178453403834E-2</v>
      </c>
      <c r="G21" s="118">
        <f t="shared" si="13"/>
        <v>-4.513064133016627E-3</v>
      </c>
      <c r="H21" s="213">
        <v>-0.01</v>
      </c>
      <c r="I21" s="213">
        <v>-0.01</v>
      </c>
      <c r="J21" s="213">
        <v>-0.01</v>
      </c>
      <c r="K21" s="215">
        <v>-0.01</v>
      </c>
    </row>
    <row r="22" spans="2:11" s="1" customFormat="1" x14ac:dyDescent="0.3">
      <c r="B22" s="103" t="s">
        <v>46</v>
      </c>
      <c r="C22" s="104"/>
      <c r="D22" s="103"/>
      <c r="E22" s="103">
        <f>E12+E18+E19+E20</f>
        <v>-98.199999999999989</v>
      </c>
      <c r="F22" s="113">
        <f>F12+F18+F19+F20</f>
        <v>-164.3</v>
      </c>
      <c r="G22" s="113">
        <f>G12+G18+G19+G20</f>
        <v>-215.6</v>
      </c>
      <c r="H22" s="113">
        <f>H12+H18+H19+H20</f>
        <v>-293.72625290316142</v>
      </c>
      <c r="I22" s="113">
        <f t="shared" ref="I22:J22" si="14">I12+I18+I19+I20</f>
        <v>-423.11474068426759</v>
      </c>
      <c r="J22" s="113">
        <f t="shared" si="14"/>
        <v>-578.70564113066644</v>
      </c>
      <c r="K22" s="104">
        <f>K12+K18+K19+K20</f>
        <v>-732.44883689495691</v>
      </c>
    </row>
    <row r="23" spans="2:11" s="9" customFormat="1" x14ac:dyDescent="0.3">
      <c r="B23" s="105"/>
      <c r="C23" s="106" t="s">
        <v>44</v>
      </c>
      <c r="D23" s="105"/>
      <c r="E23" s="105">
        <f>E22/E4</f>
        <v>-0.55199550309162437</v>
      </c>
      <c r="F23" s="110">
        <f>F22/F4</f>
        <v>-0.54296100462656971</v>
      </c>
      <c r="G23" s="110">
        <f>G22/G4</f>
        <v>-0.51211401425178149</v>
      </c>
      <c r="H23" s="110">
        <f t="shared" ref="H23:K23" si="15">H22/H4</f>
        <v>-0.41256729367787465</v>
      </c>
      <c r="I23" s="110">
        <f t="shared" si="15"/>
        <v>-0.40066588404638864</v>
      </c>
      <c r="J23" s="110">
        <f t="shared" si="15"/>
        <v>-0.39628944393968979</v>
      </c>
      <c r="K23" s="106">
        <f t="shared" si="15"/>
        <v>-0.38944984786485398</v>
      </c>
    </row>
    <row r="24" spans="2:11" x14ac:dyDescent="0.3">
      <c r="B24" s="17"/>
      <c r="C24" s="61"/>
      <c r="D24" s="17"/>
      <c r="E24" s="17"/>
      <c r="F24" s="113"/>
      <c r="G24" s="153"/>
      <c r="H24" s="153"/>
      <c r="I24" s="153"/>
      <c r="J24" s="153"/>
      <c r="K24" s="154"/>
    </row>
    <row r="25" spans="2:11" s="1" customFormat="1" x14ac:dyDescent="0.3">
      <c r="B25" s="103" t="s">
        <v>34</v>
      </c>
      <c r="C25" s="104"/>
      <c r="D25" s="103"/>
      <c r="E25" s="103">
        <f t="shared" ref="E25:K25" si="16">E9+E22</f>
        <v>12.200000000000017</v>
      </c>
      <c r="F25" s="113">
        <f t="shared" si="16"/>
        <v>23.800000000000011</v>
      </c>
      <c r="G25" s="113">
        <f t="shared" si="16"/>
        <v>44.900000000000006</v>
      </c>
      <c r="H25" s="113">
        <f t="shared" si="16"/>
        <v>147.90685807182263</v>
      </c>
      <c r="I25" s="113">
        <f t="shared" si="16"/>
        <v>231.86762905837003</v>
      </c>
      <c r="J25" s="113">
        <f t="shared" si="16"/>
        <v>326.35261627651903</v>
      </c>
      <c r="K25" s="104">
        <f t="shared" si="16"/>
        <v>433.80223099548812</v>
      </c>
    </row>
    <row r="26" spans="2:11" s="9" customFormat="1" x14ac:dyDescent="0.3">
      <c r="B26" s="105"/>
      <c r="C26" s="106" t="s">
        <v>47</v>
      </c>
      <c r="D26" s="105"/>
      <c r="E26" s="105">
        <f t="shared" ref="E26:K26" si="17">E25/E4</f>
        <v>6.857785272625079E-2</v>
      </c>
      <c r="F26" s="110">
        <f t="shared" si="17"/>
        <v>7.8651685393258453E-2</v>
      </c>
      <c r="G26" s="110">
        <f t="shared" si="17"/>
        <v>0.10665083135391926</v>
      </c>
      <c r="H26" s="110">
        <f t="shared" si="17"/>
        <v>0.20774967013659332</v>
      </c>
      <c r="I26" s="110">
        <f t="shared" si="17"/>
        <v>0.21956561576694372</v>
      </c>
      <c r="J26" s="110">
        <f t="shared" si="17"/>
        <v>0.223481659138144</v>
      </c>
      <c r="K26" s="106">
        <f t="shared" si="17"/>
        <v>0.23065667437035739</v>
      </c>
    </row>
    <row r="27" spans="2:11" x14ac:dyDescent="0.3">
      <c r="B27" s="17"/>
      <c r="C27" s="61"/>
      <c r="D27" s="17"/>
      <c r="E27" s="17"/>
      <c r="F27" s="153"/>
      <c r="G27" s="153"/>
      <c r="H27" s="153"/>
      <c r="I27" s="153"/>
      <c r="J27" s="153"/>
      <c r="K27" s="154"/>
    </row>
    <row r="28" spans="2:11" s="1" customFormat="1" x14ac:dyDescent="0.3">
      <c r="B28" s="103" t="s">
        <v>35</v>
      </c>
      <c r="C28" s="104"/>
      <c r="D28" s="103"/>
      <c r="E28" s="111">
        <v>-2.1</v>
      </c>
      <c r="F28" s="112">
        <v>-3.2</v>
      </c>
      <c r="G28" s="112">
        <v>-3.8</v>
      </c>
      <c r="H28" s="112"/>
      <c r="I28" s="112"/>
      <c r="J28" s="112"/>
      <c r="K28" s="116"/>
    </row>
    <row r="29" spans="2:11" s="1" customFormat="1" x14ac:dyDescent="0.3">
      <c r="B29" s="103" t="s">
        <v>52</v>
      </c>
      <c r="C29" s="104"/>
      <c r="D29" s="103"/>
      <c r="E29" s="103">
        <f t="shared" ref="E29" si="18">E25+E28</f>
        <v>10.100000000000017</v>
      </c>
      <c r="F29" s="113">
        <f>F25+F28</f>
        <v>20.600000000000012</v>
      </c>
      <c r="G29" s="113">
        <f>G25+G28</f>
        <v>41.100000000000009</v>
      </c>
      <c r="H29" s="113">
        <f t="shared" ref="H29" si="19">H25+H28</f>
        <v>147.90685807182263</v>
      </c>
      <c r="I29" s="113">
        <f t="shared" ref="I29:J29" si="20">I25+I28</f>
        <v>231.86762905837003</v>
      </c>
      <c r="J29" s="113">
        <f t="shared" si="20"/>
        <v>326.35261627651903</v>
      </c>
      <c r="K29" s="104">
        <f t="shared" ref="K29" si="21">K25+K28</f>
        <v>433.80223099548812</v>
      </c>
    </row>
    <row r="30" spans="2:11" x14ac:dyDescent="0.3">
      <c r="B30" s="17"/>
      <c r="C30" s="61"/>
      <c r="D30" s="17"/>
      <c r="E30" s="17"/>
      <c r="F30" s="153"/>
      <c r="G30" s="153"/>
      <c r="H30" s="114"/>
      <c r="I30" s="114"/>
      <c r="J30" s="114"/>
      <c r="K30" s="115"/>
    </row>
    <row r="31" spans="2:11" s="1" customFormat="1" x14ac:dyDescent="0.3">
      <c r="B31" s="103" t="s">
        <v>53</v>
      </c>
      <c r="C31" s="104"/>
      <c r="D31" s="103"/>
      <c r="E31" s="111">
        <v>0.2</v>
      </c>
      <c r="F31" s="112">
        <v>-5.4</v>
      </c>
      <c r="G31" s="112">
        <v>-10.199999999999999</v>
      </c>
      <c r="H31" s="113">
        <f>H33*H29</f>
        <v>-37.739256075940553</v>
      </c>
      <c r="I31" s="113">
        <f t="shared" ref="I31:K31" si="22">I33*I29</f>
        <v>-59.162312977440365</v>
      </c>
      <c r="J31" s="113">
        <f t="shared" si="22"/>
        <v>-83.270682085153879</v>
      </c>
      <c r="K31" s="104">
        <f t="shared" si="22"/>
        <v>-110.68704788457617</v>
      </c>
    </row>
    <row r="32" spans="2:11" s="1" customFormat="1" x14ac:dyDescent="0.3">
      <c r="B32" s="103" t="s">
        <v>36</v>
      </c>
      <c r="C32" s="104"/>
      <c r="D32" s="103"/>
      <c r="E32" s="103">
        <f t="shared" ref="E32" si="23">E29+E31</f>
        <v>10.300000000000017</v>
      </c>
      <c r="F32" s="113">
        <f>F29+F31</f>
        <v>15.200000000000012</v>
      </c>
      <c r="G32" s="113">
        <f>G29+G31</f>
        <v>30.900000000000009</v>
      </c>
      <c r="H32" s="113">
        <f t="shared" ref="H32" si="24">H29+H31</f>
        <v>110.16760199588208</v>
      </c>
      <c r="I32" s="113">
        <f t="shared" ref="I32:J32" si="25">I29+I31</f>
        <v>172.70531608092966</v>
      </c>
      <c r="J32" s="113">
        <f t="shared" si="25"/>
        <v>243.08193419136515</v>
      </c>
      <c r="K32" s="104">
        <f t="shared" ref="K32" si="26">K29+K31</f>
        <v>323.11518311091197</v>
      </c>
    </row>
    <row r="33" spans="2:11" s="3" customFormat="1" x14ac:dyDescent="0.3">
      <c r="B33" s="35" t="s">
        <v>55</v>
      </c>
      <c r="C33" s="37"/>
      <c r="D33" s="35"/>
      <c r="E33" s="117">
        <f>E31/E29</f>
        <v>1.9801980198019768E-2</v>
      </c>
      <c r="F33" s="118">
        <f>F31/F29</f>
        <v>-0.26213592233009697</v>
      </c>
      <c r="G33" s="118">
        <f>G31/G29</f>
        <v>-0.24817518248175174</v>
      </c>
      <c r="H33" s="119">
        <f>AVERAGE($F$33:$G$33)</f>
        <v>-0.25515555240592436</v>
      </c>
      <c r="I33" s="119">
        <f t="shared" ref="I33:K33" si="27">AVERAGE($F$33:$G$33)</f>
        <v>-0.25515555240592436</v>
      </c>
      <c r="J33" s="119">
        <f t="shared" si="27"/>
        <v>-0.25515555240592436</v>
      </c>
      <c r="K33" s="120">
        <f t="shared" si="27"/>
        <v>-0.25515555240592436</v>
      </c>
    </row>
    <row r="34" spans="2:11" s="3" customFormat="1" x14ac:dyDescent="0.3">
      <c r="B34" s="35"/>
      <c r="C34" s="37"/>
      <c r="D34" s="35"/>
      <c r="E34" s="35"/>
      <c r="F34" s="36"/>
      <c r="G34" s="36"/>
      <c r="H34" s="36"/>
      <c r="I34" s="36"/>
      <c r="J34" s="36"/>
      <c r="K34" s="37"/>
    </row>
    <row r="35" spans="2:11" x14ac:dyDescent="0.3">
      <c r="B35" s="17" t="s">
        <v>37</v>
      </c>
      <c r="C35" s="61"/>
      <c r="D35" s="17"/>
      <c r="E35" s="17"/>
      <c r="F35" s="153"/>
      <c r="G35" s="153"/>
      <c r="H35" s="153"/>
      <c r="I35" s="153"/>
      <c r="J35" s="153"/>
      <c r="K35" s="154"/>
    </row>
    <row r="36" spans="2:11" x14ac:dyDescent="0.3">
      <c r="B36" s="17" t="s">
        <v>38</v>
      </c>
      <c r="C36" s="61"/>
      <c r="D36" s="17"/>
      <c r="E36" s="17"/>
      <c r="F36" s="153"/>
      <c r="G36" s="153"/>
      <c r="H36" s="153"/>
      <c r="I36" s="153"/>
      <c r="J36" s="153"/>
      <c r="K36" s="154"/>
    </row>
    <row r="37" spans="2:11" s="1" customFormat="1" x14ac:dyDescent="0.3">
      <c r="B37" s="103"/>
      <c r="C37" s="104" t="s">
        <v>39</v>
      </c>
      <c r="D37" s="103"/>
      <c r="E37" s="111">
        <v>1.2</v>
      </c>
      <c r="F37" s="112">
        <v>1.1000000000000001</v>
      </c>
      <c r="G37" s="112">
        <v>-3</v>
      </c>
      <c r="H37" s="113">
        <f>H39*G37/SUM(G$37:G$38)</f>
        <v>-0.89528119197987976</v>
      </c>
      <c r="I37" s="113">
        <f t="shared" ref="I37:K37" si="28">I39*H37/SUM(H$37:H$38)</f>
        <v>-1.5769408352729823</v>
      </c>
      <c r="J37" s="113">
        <f t="shared" si="28"/>
        <v>-2.5223879081365448</v>
      </c>
      <c r="K37" s="104">
        <f t="shared" si="28"/>
        <v>-2.1441781469588084</v>
      </c>
    </row>
    <row r="38" spans="2:11" s="1" customFormat="1" x14ac:dyDescent="0.3">
      <c r="B38" s="103"/>
      <c r="C38" s="104" t="s">
        <v>40</v>
      </c>
      <c r="D38" s="103"/>
      <c r="E38" s="111">
        <v>0.4</v>
      </c>
      <c r="F38" s="112">
        <v>0.5</v>
      </c>
      <c r="G38" s="112">
        <v>-3.8</v>
      </c>
      <c r="H38" s="113">
        <f>H39*G38/SUM(G$37:G$38)</f>
        <v>-1.1340228431745145</v>
      </c>
      <c r="I38" s="113">
        <f t="shared" ref="I38:K38" si="29">I39*H38/SUM(H$37:H$38)</f>
        <v>-1.997458391345778</v>
      </c>
      <c r="J38" s="113">
        <f t="shared" si="29"/>
        <v>-3.1950246836396237</v>
      </c>
      <c r="K38" s="104">
        <f t="shared" si="29"/>
        <v>-2.7159589861478244</v>
      </c>
    </row>
    <row r="39" spans="2:11" s="1" customFormat="1" x14ac:dyDescent="0.3">
      <c r="B39" s="103" t="s">
        <v>41</v>
      </c>
      <c r="C39" s="104"/>
      <c r="D39" s="103"/>
      <c r="E39" s="103">
        <f t="shared" ref="E39:F39" si="30">SUM(E37:E38)</f>
        <v>1.6</v>
      </c>
      <c r="F39" s="113">
        <f t="shared" si="30"/>
        <v>1.6</v>
      </c>
      <c r="G39" s="113">
        <f>SUM(G37:G38)</f>
        <v>-6.8</v>
      </c>
      <c r="H39" s="112">
        <f>AVERAGE(E39:G39)*(1+H5)</f>
        <v>-2.0293040351543943</v>
      </c>
      <c r="I39" s="112">
        <f>AVERAGE(F39:H39)*(1+I5)</f>
        <v>-3.5743992266187603</v>
      </c>
      <c r="J39" s="112">
        <f>AVERAGE(G39:I39)*(1+J5)</f>
        <v>-5.717412591776168</v>
      </c>
      <c r="K39" s="116">
        <f>AVERAGE(H39:J39)*(1+K5)</f>
        <v>-4.8601371331066332</v>
      </c>
    </row>
    <row r="40" spans="2:11" x14ac:dyDescent="0.3">
      <c r="B40" s="17"/>
      <c r="C40" s="61"/>
      <c r="D40" s="17"/>
      <c r="E40" s="17"/>
      <c r="F40" s="153"/>
      <c r="G40" s="153"/>
      <c r="H40" s="114"/>
      <c r="I40" s="114"/>
      <c r="J40" s="114"/>
      <c r="K40" s="115"/>
    </row>
    <row r="41" spans="2:11" s="1" customFormat="1" ht="15" thickBot="1" x14ac:dyDescent="0.35">
      <c r="B41" s="107" t="s">
        <v>42</v>
      </c>
      <c r="C41" s="108"/>
      <c r="D41" s="107"/>
      <c r="E41" s="107">
        <f>E32+E39</f>
        <v>11.900000000000016</v>
      </c>
      <c r="F41" s="121">
        <f t="shared" ref="F41" si="31">F32+F39</f>
        <v>16.800000000000011</v>
      </c>
      <c r="G41" s="121">
        <f>G32+G39</f>
        <v>24.100000000000009</v>
      </c>
      <c r="H41" s="121">
        <f>H32+H39</f>
        <v>108.13829796072768</v>
      </c>
      <c r="I41" s="121">
        <f t="shared" ref="I41:K41" si="32">I32+I39</f>
        <v>169.1309168543109</v>
      </c>
      <c r="J41" s="121">
        <f t="shared" si="32"/>
        <v>237.36452159958898</v>
      </c>
      <c r="K41" s="108">
        <f t="shared" si="32"/>
        <v>318.25504597780537</v>
      </c>
    </row>
    <row r="43" spans="2:11" ht="15" thickBot="1" x14ac:dyDescent="0.35"/>
    <row r="44" spans="2:11" s="5" customFormat="1" x14ac:dyDescent="0.3">
      <c r="B44" s="122" t="s">
        <v>155</v>
      </c>
      <c r="C44" s="123"/>
      <c r="D44" s="123"/>
      <c r="E44" s="124">
        <f>994589856</f>
        <v>994589856</v>
      </c>
      <c r="F44" s="124">
        <v>994589856</v>
      </c>
      <c r="G44" s="124">
        <v>994589856</v>
      </c>
      <c r="H44" s="124">
        <v>994589856</v>
      </c>
      <c r="I44" s="124">
        <v>994589856</v>
      </c>
      <c r="J44" s="124">
        <v>994589856</v>
      </c>
      <c r="K44" s="125">
        <v>994589856</v>
      </c>
    </row>
    <row r="45" spans="2:11" s="1" customFormat="1" ht="15" thickBot="1" x14ac:dyDescent="0.35">
      <c r="B45" s="31" t="s">
        <v>54</v>
      </c>
      <c r="C45" s="121"/>
      <c r="D45" s="121"/>
      <c r="E45" s="121">
        <f>(E41*1000000)/E44</f>
        <v>1.196473091718323E-2</v>
      </c>
      <c r="F45" s="121">
        <f t="shared" ref="F45:K45" si="33">(F41*1000000)/F44</f>
        <v>1.6891384824258664E-2</v>
      </c>
      <c r="G45" s="121">
        <f t="shared" si="33"/>
        <v>2.4231093706228196E-2</v>
      </c>
      <c r="H45" s="121">
        <f t="shared" si="33"/>
        <v>0.10872652411279739</v>
      </c>
      <c r="I45" s="121">
        <f t="shared" si="33"/>
        <v>0.17005091680153925</v>
      </c>
      <c r="J45" s="121">
        <f t="shared" si="33"/>
        <v>0.2386556832121853</v>
      </c>
      <c r="K45" s="108">
        <f t="shared" si="33"/>
        <v>0.31998621749245487</v>
      </c>
    </row>
    <row r="46" spans="2:11" s="1" customFormat="1" x14ac:dyDescent="0.3"/>
    <row r="47" spans="2:11" x14ac:dyDescent="0.3">
      <c r="E47" s="1"/>
      <c r="F47" s="1"/>
      <c r="G47" s="1"/>
      <c r="H47" s="1"/>
      <c r="I47" s="1"/>
      <c r="J47" s="1"/>
      <c r="K47" s="1"/>
    </row>
    <row r="50" spans="2:7" x14ac:dyDescent="0.3">
      <c r="G50" s="1"/>
    </row>
    <row r="51" spans="2:7" x14ac:dyDescent="0.3">
      <c r="G51" s="79"/>
    </row>
    <row r="55" spans="2:7" x14ac:dyDescent="0.3">
      <c r="B55" s="10"/>
    </row>
    <row r="56" spans="2:7" x14ac:dyDescent="0.3">
      <c r="B56" s="10"/>
    </row>
    <row r="57" spans="2:7" x14ac:dyDescent="0.3">
      <c r="B57" s="10"/>
    </row>
    <row r="58" spans="2:7" x14ac:dyDescent="0.3">
      <c r="B58" s="1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4217-12BB-4D1F-9D15-3D3F3C4252A6}">
  <dimension ref="B2:V72"/>
  <sheetViews>
    <sheetView showGridLines="0" topLeftCell="L1" zoomScale="70" zoomScaleNormal="70" workbookViewId="0">
      <selection activeCell="D17" sqref="D17"/>
    </sheetView>
  </sheetViews>
  <sheetFormatPr defaultRowHeight="14.4" x14ac:dyDescent="0.3"/>
  <cols>
    <col min="2" max="2" width="3.77734375" style="11" customWidth="1"/>
    <col min="3" max="3" width="35.5546875" customWidth="1"/>
    <col min="4" max="7" width="11.21875" bestFit="1" customWidth="1"/>
    <col min="8" max="10" width="12" bestFit="1" customWidth="1"/>
    <col min="12" max="12" width="48.6640625" bestFit="1" customWidth="1"/>
    <col min="13" max="13" width="11.109375" hidden="1" customWidth="1"/>
    <col min="14" max="14" width="11.109375" bestFit="1" customWidth="1"/>
    <col min="15" max="15" width="11.109375" hidden="1" customWidth="1"/>
    <col min="16" max="16" width="11.109375" bestFit="1" customWidth="1"/>
    <col min="17" max="17" width="11.109375" hidden="1" customWidth="1"/>
    <col min="18" max="18" width="15" bestFit="1" customWidth="1"/>
    <col min="19" max="19" width="11.109375" bestFit="1" customWidth="1"/>
    <col min="20" max="22" width="12.21875" bestFit="1" customWidth="1"/>
  </cols>
  <sheetData>
    <row r="2" spans="2:22" ht="15" thickBot="1" x14ac:dyDescent="0.35">
      <c r="I2" s="1"/>
    </row>
    <row r="3" spans="2:22" x14ac:dyDescent="0.3">
      <c r="B3" s="49"/>
      <c r="C3" s="15"/>
      <c r="D3" s="54">
        <v>2019</v>
      </c>
      <c r="E3" s="16">
        <v>2020</v>
      </c>
      <c r="F3" s="16">
        <v>2021</v>
      </c>
      <c r="G3" s="16" t="s">
        <v>48</v>
      </c>
      <c r="H3" s="16" t="s">
        <v>49</v>
      </c>
      <c r="I3" s="16" t="s">
        <v>50</v>
      </c>
      <c r="J3" s="54" t="s">
        <v>51</v>
      </c>
      <c r="L3" s="186" t="s">
        <v>170</v>
      </c>
      <c r="M3" s="178"/>
      <c r="N3" s="179">
        <v>2019</v>
      </c>
      <c r="O3" s="178">
        <v>2020</v>
      </c>
      <c r="P3" s="179">
        <v>2020</v>
      </c>
      <c r="Q3" s="178">
        <v>2021</v>
      </c>
      <c r="R3" s="179">
        <v>2021</v>
      </c>
      <c r="S3" s="179">
        <v>2022</v>
      </c>
      <c r="T3" s="179">
        <v>2023</v>
      </c>
      <c r="U3" s="179">
        <v>2024</v>
      </c>
      <c r="V3" s="179">
        <v>2025</v>
      </c>
    </row>
    <row r="4" spans="2:22" ht="15" thickBot="1" x14ac:dyDescent="0.35">
      <c r="B4" s="50"/>
      <c r="C4" s="60"/>
      <c r="D4" s="97" t="s">
        <v>19</v>
      </c>
      <c r="E4" s="97" t="s">
        <v>19</v>
      </c>
      <c r="F4" s="97" t="s">
        <v>19</v>
      </c>
      <c r="G4" s="97" t="s">
        <v>19</v>
      </c>
      <c r="H4" s="97" t="s">
        <v>19</v>
      </c>
      <c r="I4" s="97" t="s">
        <v>19</v>
      </c>
      <c r="J4" s="130" t="s">
        <v>19</v>
      </c>
      <c r="L4" s="189"/>
      <c r="M4" s="52">
        <v>2019</v>
      </c>
      <c r="N4" s="130" t="s">
        <v>19</v>
      </c>
      <c r="O4" s="153"/>
      <c r="P4" s="130" t="s">
        <v>19</v>
      </c>
      <c r="Q4" s="153"/>
      <c r="R4" s="130" t="s">
        <v>19</v>
      </c>
      <c r="S4" s="101" t="s">
        <v>19</v>
      </c>
      <c r="T4" s="101" t="s">
        <v>19</v>
      </c>
      <c r="U4" s="101" t="s">
        <v>19</v>
      </c>
      <c r="V4" s="101" t="s">
        <v>19</v>
      </c>
    </row>
    <row r="5" spans="2:22" x14ac:dyDescent="0.3">
      <c r="B5" s="50" t="s">
        <v>60</v>
      </c>
      <c r="C5" s="60"/>
      <c r="D5" s="54"/>
      <c r="E5" s="104"/>
      <c r="F5" s="61"/>
      <c r="G5" s="61"/>
      <c r="H5" s="61"/>
      <c r="I5" s="61"/>
      <c r="J5" s="61"/>
      <c r="L5" s="187" t="s">
        <v>56</v>
      </c>
      <c r="M5" s="180">
        <v>1112.7</v>
      </c>
      <c r="N5" s="181">
        <f>D19+D27</f>
        <v>1112.7</v>
      </c>
      <c r="O5" s="180">
        <v>2376.4</v>
      </c>
      <c r="P5" s="181">
        <f>E28</f>
        <v>2376.4</v>
      </c>
      <c r="Q5" s="180">
        <v>4301.8</v>
      </c>
      <c r="R5" s="181">
        <f>F28</f>
        <v>4301.8</v>
      </c>
      <c r="S5" s="181">
        <f>G28</f>
        <v>8427.4323781397652</v>
      </c>
      <c r="T5" s="181">
        <f t="shared" ref="T5:U5" si="0">H28</f>
        <v>13376.803195060596</v>
      </c>
      <c r="U5" s="181">
        <f t="shared" si="0"/>
        <v>19766.616135282056</v>
      </c>
      <c r="V5" s="181">
        <f>J28</f>
        <v>25878.306206435809</v>
      </c>
    </row>
    <row r="6" spans="2:22" s="68" customFormat="1" x14ac:dyDescent="0.3">
      <c r="B6" s="64"/>
      <c r="C6" s="65" t="s">
        <v>61</v>
      </c>
      <c r="D6" s="66">
        <v>8.1999999999999993</v>
      </c>
      <c r="E6" s="67">
        <v>32</v>
      </c>
      <c r="F6" s="67">
        <v>56.7</v>
      </c>
      <c r="G6" s="67">
        <f>F6</f>
        <v>56.7</v>
      </c>
      <c r="H6" s="67">
        <f t="shared" ref="H6:J6" si="1">G6</f>
        <v>56.7</v>
      </c>
      <c r="I6" s="67">
        <f t="shared" si="1"/>
        <v>56.7</v>
      </c>
      <c r="J6" s="67">
        <f t="shared" si="1"/>
        <v>56.7</v>
      </c>
      <c r="L6" s="149" t="s">
        <v>57</v>
      </c>
      <c r="M6" s="180">
        <v>986.3</v>
      </c>
      <c r="N6" s="181">
        <f>D51</f>
        <v>986.3</v>
      </c>
      <c r="O6" s="180">
        <v>2179.6</v>
      </c>
      <c r="P6" s="181">
        <f>E51</f>
        <v>2179.5999999999995</v>
      </c>
      <c r="Q6" s="180">
        <v>4016.5</v>
      </c>
      <c r="R6" s="181">
        <f>F51</f>
        <v>4016.5</v>
      </c>
      <c r="S6" s="181">
        <f>G51</f>
        <v>8027.0182210174535</v>
      </c>
      <c r="T6" s="181">
        <f t="shared" ref="T6:V6" si="2">H51</f>
        <v>12813.793015432055</v>
      </c>
      <c r="U6" s="181">
        <f t="shared" si="2"/>
        <v>18973.919669637384</v>
      </c>
      <c r="V6" s="181">
        <f t="shared" si="2"/>
        <v>24775.339367740267</v>
      </c>
    </row>
    <row r="7" spans="2:22" s="68" customFormat="1" x14ac:dyDescent="0.3">
      <c r="B7" s="64"/>
      <c r="C7" s="65" t="s">
        <v>62</v>
      </c>
      <c r="D7" s="66">
        <v>4.5</v>
      </c>
      <c r="E7" s="67">
        <v>19.100000000000001</v>
      </c>
      <c r="F7" s="67">
        <v>24</v>
      </c>
      <c r="G7" s="66">
        <v>35.366666666666703</v>
      </c>
      <c r="H7" s="67">
        <v>45.116666666666703</v>
      </c>
      <c r="I7" s="67">
        <v>54.866666666666703</v>
      </c>
      <c r="J7" s="66">
        <v>64.616666666666703</v>
      </c>
      <c r="L7" s="149" t="s">
        <v>58</v>
      </c>
      <c r="M7" s="180">
        <v>126.4</v>
      </c>
      <c r="N7" s="181">
        <f>D59</f>
        <v>126.39999999999999</v>
      </c>
      <c r="O7" s="180">
        <v>196.8</v>
      </c>
      <c r="P7" s="181">
        <f>E59</f>
        <v>196.80000000000004</v>
      </c>
      <c r="Q7" s="180">
        <v>285.3</v>
      </c>
      <c r="R7" s="181">
        <f>F59</f>
        <v>285.3</v>
      </c>
      <c r="S7" s="181">
        <f>G59</f>
        <v>393.43829796072765</v>
      </c>
      <c r="T7" s="181">
        <f t="shared" ref="T7:V7" si="3">H59</f>
        <v>562.56921481503855</v>
      </c>
      <c r="U7" s="181">
        <f t="shared" si="3"/>
        <v>799.93373641462756</v>
      </c>
      <c r="V7" s="181">
        <f t="shared" si="3"/>
        <v>1118.1887823924328</v>
      </c>
    </row>
    <row r="8" spans="2:22" s="68" customFormat="1" ht="15" thickBot="1" x14ac:dyDescent="0.35">
      <c r="B8" s="64"/>
      <c r="C8" s="69" t="s">
        <v>89</v>
      </c>
      <c r="D8" s="66">
        <v>-2.2999999999999998</v>
      </c>
      <c r="E8" s="67">
        <v>-3.1</v>
      </c>
      <c r="F8" s="67">
        <v>-2.2999999999999998</v>
      </c>
      <c r="G8" s="166">
        <f>G7*G9*-1</f>
        <v>-4.5647225858057059</v>
      </c>
      <c r="H8" s="166">
        <f t="shared" ref="H8:J8" si="4">H7*H9*-1</f>
        <v>-5.823140452297852</v>
      </c>
      <c r="I8" s="166">
        <f t="shared" si="4"/>
        <v>-7.0815583187899991</v>
      </c>
      <c r="J8" s="166">
        <f t="shared" si="4"/>
        <v>-8.3399761852821452</v>
      </c>
      <c r="L8" s="188" t="s">
        <v>59</v>
      </c>
      <c r="M8" s="184">
        <v>1112.7</v>
      </c>
      <c r="N8" s="185">
        <f>N7+N6</f>
        <v>1112.7</v>
      </c>
      <c r="O8" s="184">
        <v>2376.4</v>
      </c>
      <c r="P8" s="185">
        <f>P7+P6</f>
        <v>2376.3999999999996</v>
      </c>
      <c r="Q8" s="184">
        <v>4301.8</v>
      </c>
      <c r="R8" s="185">
        <f>R7+R6</f>
        <v>4301.8</v>
      </c>
      <c r="S8" s="185">
        <f>S7+S6</f>
        <v>8420.4565189781806</v>
      </c>
      <c r="T8" s="185">
        <f t="shared" ref="T8:V8" si="5">T7+T6</f>
        <v>13376.362230247094</v>
      </c>
      <c r="U8" s="185">
        <f t="shared" si="5"/>
        <v>19773.853406052011</v>
      </c>
      <c r="V8" s="185">
        <f t="shared" si="5"/>
        <v>25893.528150132701</v>
      </c>
    </row>
    <row r="9" spans="2:22" s="68" customFormat="1" x14ac:dyDescent="0.3">
      <c r="B9" s="64"/>
      <c r="C9" s="69" t="s">
        <v>180</v>
      </c>
      <c r="D9" s="157">
        <f>D8*-1/D7</f>
        <v>0.51111111111111107</v>
      </c>
      <c r="E9" s="157">
        <f t="shared" ref="E9:F9" si="6">E8*-1/E7</f>
        <v>0.16230366492146597</v>
      </c>
      <c r="F9" s="157">
        <f t="shared" si="6"/>
        <v>9.5833333333333326E-2</v>
      </c>
      <c r="G9" s="170">
        <f>AVERAGE($E$9:$F$9)</f>
        <v>0.12906849912739965</v>
      </c>
      <c r="H9" s="170">
        <f t="shared" ref="H9:J9" si="7">AVERAGE($E$9:$F$9)</f>
        <v>0.12906849912739965</v>
      </c>
      <c r="I9" s="170">
        <f t="shared" si="7"/>
        <v>0.12906849912739965</v>
      </c>
      <c r="J9" s="170">
        <f t="shared" si="7"/>
        <v>0.12906849912739965</v>
      </c>
      <c r="L9" s="78"/>
      <c r="M9" s="160"/>
      <c r="N9" s="160"/>
      <c r="O9" s="160"/>
      <c r="P9" s="160"/>
      <c r="Q9" s="160"/>
      <c r="R9" s="160"/>
      <c r="S9" s="161">
        <f>S8-S5</f>
        <v>-6.9758591615845944</v>
      </c>
      <c r="T9" s="161">
        <f t="shared" ref="T9:V9" si="8">T8-T5</f>
        <v>-0.44096481350243266</v>
      </c>
      <c r="U9" s="161">
        <f t="shared" si="8"/>
        <v>7.2372707699541934</v>
      </c>
      <c r="V9" s="161">
        <f t="shared" si="8"/>
        <v>15.221943696891685</v>
      </c>
    </row>
    <row r="10" spans="2:22" s="68" customFormat="1" ht="15" thickBot="1" x14ac:dyDescent="0.35">
      <c r="B10" s="64"/>
      <c r="C10" s="65" t="s">
        <v>63</v>
      </c>
      <c r="D10" s="66">
        <v>20.399999999999999</v>
      </c>
      <c r="E10" s="67">
        <v>21.3</v>
      </c>
      <c r="F10" s="67">
        <v>27.5</v>
      </c>
      <c r="G10" s="167">
        <v>30.1666666666667</v>
      </c>
      <c r="H10" s="168">
        <v>33.716666666666697</v>
      </c>
      <c r="I10" s="168">
        <v>37.266666666666701</v>
      </c>
      <c r="J10" s="167">
        <v>40.816666666666698</v>
      </c>
      <c r="M10" s="1"/>
      <c r="N10" s="1"/>
      <c r="O10" s="1"/>
      <c r="P10" s="1"/>
      <c r="Q10" s="1"/>
      <c r="R10" s="1"/>
    </row>
    <row r="11" spans="2:22" s="68" customFormat="1" x14ac:dyDescent="0.3">
      <c r="B11" s="64"/>
      <c r="C11" s="164" t="s">
        <v>89</v>
      </c>
      <c r="D11" s="66">
        <v>-11.3</v>
      </c>
      <c r="E11" s="67">
        <v>-15</v>
      </c>
      <c r="F11" s="67">
        <v>-20.9</v>
      </c>
      <c r="G11" s="169">
        <f>G10*G12*-1</f>
        <v>-22.085399061032884</v>
      </c>
      <c r="H11" s="169">
        <f t="shared" ref="H11:J11" si="9">H10*H12*-1</f>
        <v>-25.154532863849781</v>
      </c>
      <c r="I11" s="169">
        <f t="shared" si="9"/>
        <v>-27.543215962441334</v>
      </c>
      <c r="J11" s="169">
        <f t="shared" si="9"/>
        <v>-30.309249413145558</v>
      </c>
      <c r="L11" s="207" t="s">
        <v>190</v>
      </c>
      <c r="M11" s="192"/>
      <c r="N11" s="202">
        <v>2019</v>
      </c>
      <c r="O11" s="202"/>
      <c r="P11" s="202">
        <v>2020</v>
      </c>
      <c r="Q11" s="202"/>
      <c r="R11" s="202">
        <v>2021</v>
      </c>
      <c r="S11" s="202">
        <v>2022</v>
      </c>
      <c r="T11" s="202">
        <v>2023</v>
      </c>
      <c r="U11" s="202">
        <v>2024</v>
      </c>
      <c r="V11" s="203">
        <v>2025</v>
      </c>
    </row>
    <row r="12" spans="2:22" s="68" customFormat="1" x14ac:dyDescent="0.3">
      <c r="B12" s="64"/>
      <c r="C12" s="69" t="s">
        <v>180</v>
      </c>
      <c r="D12" s="157">
        <f>D11*-1/D10</f>
        <v>0.55392156862745101</v>
      </c>
      <c r="E12" s="157">
        <f t="shared" ref="E12:F12" si="10">E11*-1/E10</f>
        <v>0.70422535211267601</v>
      </c>
      <c r="F12" s="157">
        <f t="shared" si="10"/>
        <v>0.7599999999999999</v>
      </c>
      <c r="G12" s="170">
        <f>AVERAGE(E12:F12)</f>
        <v>0.7321126760563379</v>
      </c>
      <c r="H12" s="170">
        <f t="shared" ref="H12:J12" si="11">AVERAGE(F12:G12)</f>
        <v>0.74605633802816884</v>
      </c>
      <c r="I12" s="170">
        <f t="shared" si="11"/>
        <v>0.73908450704225337</v>
      </c>
      <c r="J12" s="170">
        <f t="shared" si="11"/>
        <v>0.74257042253521111</v>
      </c>
      <c r="L12" s="77"/>
      <c r="M12" s="65"/>
      <c r="N12" s="65"/>
      <c r="O12" s="65"/>
      <c r="P12" s="65"/>
      <c r="Q12" s="65"/>
      <c r="R12" s="65"/>
      <c r="S12" s="65"/>
      <c r="T12" s="65"/>
      <c r="U12" s="65"/>
      <c r="V12" s="71"/>
    </row>
    <row r="13" spans="2:22" s="68" customFormat="1" x14ac:dyDescent="0.3">
      <c r="B13" s="64"/>
      <c r="C13" s="65" t="s">
        <v>64</v>
      </c>
      <c r="D13" s="66">
        <v>5.7</v>
      </c>
      <c r="E13" s="67">
        <v>7.6</v>
      </c>
      <c r="F13" s="67">
        <v>15.1</v>
      </c>
      <c r="G13" s="70">
        <f>G14*'Income statement'!H4</f>
        <v>22.07585916158488</v>
      </c>
      <c r="H13" s="70">
        <f>H14*'Income statement'!I4</f>
        <v>32.745033351925606</v>
      </c>
      <c r="I13" s="70">
        <f>I14*'Income statement'!J4</f>
        <v>45.280879924323514</v>
      </c>
      <c r="J13" s="70">
        <f>J14*'Income statement'!K4</f>
        <v>58.317030437671583</v>
      </c>
      <c r="L13" s="77" t="s">
        <v>184</v>
      </c>
      <c r="M13" s="65"/>
      <c r="N13" s="29">
        <f>D27/D50</f>
        <v>1.1100888980773207</v>
      </c>
      <c r="O13" s="65"/>
      <c r="P13" s="29">
        <f>E27/E50</f>
        <v>1.0870017987314213</v>
      </c>
      <c r="Q13" s="65"/>
      <c r="R13" s="29">
        <f>F27/F50</f>
        <v>1.0723176020735494</v>
      </c>
      <c r="S13" s="29">
        <f>G27/G50</f>
        <v>1.0584550707585094</v>
      </c>
      <c r="T13" s="29">
        <f>H27/H50</f>
        <v>1.0553223147493616</v>
      </c>
      <c r="U13" s="29">
        <f>I27/I50</f>
        <v>1.0543806182369895</v>
      </c>
      <c r="V13" s="30">
        <f>J27/J50</f>
        <v>1.0581983505197943</v>
      </c>
    </row>
    <row r="14" spans="2:22" s="13" customFormat="1" x14ac:dyDescent="0.3">
      <c r="B14" s="88"/>
      <c r="C14" s="29" t="s">
        <v>90</v>
      </c>
      <c r="D14" s="157">
        <f>D13/'Income statement'!E4</f>
        <v>3.2040472175379427E-2</v>
      </c>
      <c r="E14" s="45">
        <f>E13/'Income statement'!F4</f>
        <v>2.5115664243225377E-2</v>
      </c>
      <c r="F14" s="45">
        <f>F13/'Income statement'!G4</f>
        <v>3.5866983372921615E-2</v>
      </c>
      <c r="G14" s="158">
        <f>AVERAGE($D$14:$F$14)</f>
        <v>3.1007706597175472E-2</v>
      </c>
      <c r="H14" s="158">
        <f t="shared" ref="H14:J14" si="12">AVERAGE($D$14:$F$14)</f>
        <v>3.1007706597175472E-2</v>
      </c>
      <c r="I14" s="158">
        <f t="shared" si="12"/>
        <v>3.1007706597175472E-2</v>
      </c>
      <c r="J14" s="158">
        <f t="shared" si="12"/>
        <v>3.1007706597175472E-2</v>
      </c>
      <c r="L14" s="159" t="s">
        <v>191</v>
      </c>
      <c r="M14" s="65"/>
      <c r="N14" s="29">
        <f>D59/D51</f>
        <v>0.12815573354962992</v>
      </c>
      <c r="O14" s="65"/>
      <c r="P14" s="29">
        <f>E59/E51</f>
        <v>9.029179665993764E-2</v>
      </c>
      <c r="Q14" s="65"/>
      <c r="R14" s="29">
        <f>F59/F51</f>
        <v>7.1031993028756388E-2</v>
      </c>
      <c r="S14" s="29">
        <f>G59/G51</f>
        <v>4.9014252506687089E-2</v>
      </c>
      <c r="T14" s="29">
        <f>H59/H51</f>
        <v>4.390341049972625E-2</v>
      </c>
      <c r="U14" s="29">
        <f>I59/I51</f>
        <v>4.2159645995271326E-2</v>
      </c>
      <c r="V14" s="30">
        <f>J59/J51</f>
        <v>4.5133136858194395E-2</v>
      </c>
    </row>
    <row r="15" spans="2:22" s="68" customFormat="1" x14ac:dyDescent="0.3">
      <c r="B15" s="64"/>
      <c r="C15" s="69" t="s">
        <v>89</v>
      </c>
      <c r="D15" s="167">
        <v>-6.3</v>
      </c>
      <c r="E15" s="168">
        <v>-20.6</v>
      </c>
      <c r="F15" s="168">
        <v>-21.7</v>
      </c>
      <c r="G15" s="169">
        <f>G11+G8</f>
        <v>-26.650121646838592</v>
      </c>
      <c r="H15" s="169">
        <f t="shared" ref="H15:J15" si="13">H11+H8</f>
        <v>-30.977673316147634</v>
      </c>
      <c r="I15" s="169">
        <f t="shared" si="13"/>
        <v>-34.624774281231332</v>
      </c>
      <c r="J15" s="169">
        <f t="shared" si="13"/>
        <v>-38.649225598427705</v>
      </c>
      <c r="L15" s="159"/>
      <c r="M15" s="29"/>
      <c r="N15" s="29"/>
      <c r="O15" s="29"/>
      <c r="P15" s="29"/>
      <c r="Q15" s="29"/>
      <c r="R15" s="29"/>
      <c r="S15" s="29"/>
      <c r="T15" s="29"/>
      <c r="U15" s="29"/>
      <c r="V15" s="30"/>
    </row>
    <row r="16" spans="2:22" x14ac:dyDescent="0.3">
      <c r="B16" s="50"/>
      <c r="C16" s="69" t="s">
        <v>90</v>
      </c>
      <c r="D16" s="171">
        <f>D15/(D7+D10)</f>
        <v>-0.25301204819277107</v>
      </c>
      <c r="E16" s="171">
        <f t="shared" ref="E16:J16" si="14">E15/(E7+E10)</f>
        <v>-0.50990099009900991</v>
      </c>
      <c r="F16" s="171">
        <f t="shared" si="14"/>
        <v>-0.42135922330097086</v>
      </c>
      <c r="G16" s="171">
        <f t="shared" si="14"/>
        <v>-0.40666513194565457</v>
      </c>
      <c r="H16" s="171">
        <f t="shared" si="14"/>
        <v>-0.39295145855578362</v>
      </c>
      <c r="I16" s="171">
        <f t="shared" si="14"/>
        <v>-0.37581158771235135</v>
      </c>
      <c r="J16" s="171">
        <f t="shared" si="14"/>
        <v>-0.36657501357977568</v>
      </c>
      <c r="L16" s="140" t="s">
        <v>185</v>
      </c>
      <c r="M16" s="65"/>
      <c r="N16" s="29"/>
      <c r="O16" s="65"/>
      <c r="P16" s="29"/>
      <c r="Q16" s="65"/>
      <c r="R16" s="29"/>
      <c r="S16" s="29"/>
      <c r="T16" s="29"/>
      <c r="U16" s="29"/>
      <c r="V16" s="30"/>
    </row>
    <row r="17" spans="2:22" s="68" customFormat="1" x14ac:dyDescent="0.3">
      <c r="B17" s="64"/>
      <c r="C17" s="69" t="s">
        <v>88</v>
      </c>
      <c r="D17" s="252">
        <v>-6.3</v>
      </c>
      <c r="E17" s="166">
        <f t="shared" ref="E17" si="15">((E7-D7+E10-D10)-E15)*-1</f>
        <v>-36.100000000000009</v>
      </c>
      <c r="F17" s="166">
        <f>((F7-E7+F10-E10)-F15)*-1</f>
        <v>-32.799999999999997</v>
      </c>
      <c r="G17" s="166">
        <f>((G7-F7+G10-F10)-G15)*-1</f>
        <v>-40.683454980171994</v>
      </c>
      <c r="H17" s="166">
        <f t="shared" ref="H17:J17" si="16">((H7-G7+H10-G10)-H15)*-1</f>
        <v>-44.277673316147627</v>
      </c>
      <c r="I17" s="166">
        <f t="shared" si="16"/>
        <v>-47.924774281231336</v>
      </c>
      <c r="J17" s="166">
        <f t="shared" si="16"/>
        <v>-51.949225598427702</v>
      </c>
      <c r="L17" s="77" t="s">
        <v>165</v>
      </c>
      <c r="M17" s="153"/>
      <c r="N17" s="29">
        <f>'Income statement'!E10</f>
        <v>0.62057335581787521</v>
      </c>
      <c r="O17" s="153"/>
      <c r="P17" s="29">
        <f>'Income statement'!F10</f>
        <v>0.62161269001982822</v>
      </c>
      <c r="Q17" s="153"/>
      <c r="R17" s="29">
        <f>'Income statement'!G10</f>
        <v>0.61876484560570066</v>
      </c>
      <c r="S17" s="29">
        <f>'Income statement'!H10</f>
        <v>0.62031696381446799</v>
      </c>
      <c r="T17" s="29">
        <f>'Income statement'!I10</f>
        <v>0.62023149981333237</v>
      </c>
      <c r="U17" s="29">
        <f>'Income statement'!J10</f>
        <v>0.61977110307783378</v>
      </c>
      <c r="V17" s="30">
        <f>'Income statement'!K10</f>
        <v>0.62010652223521134</v>
      </c>
    </row>
    <row r="18" spans="2:22" x14ac:dyDescent="0.3">
      <c r="B18" s="50"/>
      <c r="C18" s="36"/>
      <c r="D18" s="167"/>
      <c r="E18" s="168"/>
      <c r="F18" s="168"/>
      <c r="G18" s="166"/>
      <c r="H18" s="166"/>
      <c r="I18" s="166"/>
      <c r="J18" s="166"/>
      <c r="L18" s="208" t="s">
        <v>166</v>
      </c>
      <c r="M18" s="65"/>
      <c r="N18" s="29">
        <f>'Income statement'!E26</f>
        <v>6.857785272625079E-2</v>
      </c>
      <c r="O18" s="65"/>
      <c r="P18" s="29">
        <f>'Income statement'!F26</f>
        <v>7.8651685393258453E-2</v>
      </c>
      <c r="Q18" s="65"/>
      <c r="R18" s="29">
        <f>'Income statement'!G26</f>
        <v>0.10665083135391926</v>
      </c>
      <c r="S18" s="29">
        <f>'Income statement'!H26</f>
        <v>0.20774967013659332</v>
      </c>
      <c r="T18" s="29">
        <f>'Income statement'!I26</f>
        <v>0.21956561576694372</v>
      </c>
      <c r="U18" s="29">
        <f>'Income statement'!J26</f>
        <v>0.223481659138144</v>
      </c>
      <c r="V18" s="30">
        <f>'Income statement'!K26</f>
        <v>0.23065667437035739</v>
      </c>
    </row>
    <row r="19" spans="2:22" s="10" customFormat="1" x14ac:dyDescent="0.3">
      <c r="B19" s="51" t="s">
        <v>65</v>
      </c>
      <c r="C19" s="142"/>
      <c r="D19" s="133">
        <f>D6+D7+D10+D13</f>
        <v>38.799999999999997</v>
      </c>
      <c r="E19" s="133">
        <f t="shared" ref="E19:J19" si="17">E6+E7+E10+E13</f>
        <v>80</v>
      </c>
      <c r="F19" s="133">
        <f>F6+F7+F10+F13</f>
        <v>123.3</v>
      </c>
      <c r="G19" s="133">
        <f>G6+G7+G10+G13</f>
        <v>144.30919249491828</v>
      </c>
      <c r="H19" s="133">
        <f t="shared" si="17"/>
        <v>168.27836668525902</v>
      </c>
      <c r="I19" s="133">
        <f t="shared" si="17"/>
        <v>194.1142132576569</v>
      </c>
      <c r="J19" s="133">
        <f t="shared" si="17"/>
        <v>220.45036377100499</v>
      </c>
      <c r="L19" s="77" t="s">
        <v>168</v>
      </c>
      <c r="M19" s="153"/>
      <c r="N19" s="29">
        <f>'Income statement'!E41/'Balance Sheet'!D59</f>
        <v>9.4145569620253305E-2</v>
      </c>
      <c r="O19" s="153"/>
      <c r="P19" s="29">
        <f>'Income statement'!F41/'Balance Sheet'!E59</f>
        <v>8.536585365853662E-2</v>
      </c>
      <c r="Q19" s="153"/>
      <c r="R19" s="29">
        <f>'Income statement'!G41/'Balance Sheet'!F59</f>
        <v>8.4472485103399955E-2</v>
      </c>
      <c r="S19" s="29">
        <f>'Income statement'!H41/'Balance Sheet'!G59</f>
        <v>0.27485452870559607</v>
      </c>
      <c r="T19" s="29">
        <f>'Income statement'!I41/'Balance Sheet'!H59</f>
        <v>0.30064019217602894</v>
      </c>
      <c r="U19" s="29">
        <f>'Income statement'!J41/'Balance Sheet'!I59</f>
        <v>0.29673023001064736</v>
      </c>
      <c r="V19" s="30">
        <f>'Income statement'!K41/'Balance Sheet'!J59</f>
        <v>0.2846165611649934</v>
      </c>
    </row>
    <row r="20" spans="2:22" ht="15" thickBot="1" x14ac:dyDescent="0.35">
      <c r="B20" s="50" t="s">
        <v>66</v>
      </c>
      <c r="C20" s="60"/>
      <c r="D20" s="77"/>
      <c r="E20" s="71"/>
      <c r="F20" s="71"/>
      <c r="G20" s="71"/>
      <c r="H20" s="71"/>
      <c r="I20" s="71"/>
      <c r="J20" s="71"/>
      <c r="L20" s="209" t="s">
        <v>167</v>
      </c>
      <c r="M20" s="204"/>
      <c r="N20" s="205">
        <f>'Income statement'!E41/'Balance Sheet'!D28</f>
        <v>1.0694706569605479E-2</v>
      </c>
      <c r="O20" s="204"/>
      <c r="P20" s="205">
        <f>'Income statement'!F41/'Balance Sheet'!E28</f>
        <v>7.0695169163440541E-3</v>
      </c>
      <c r="Q20" s="204"/>
      <c r="R20" s="205">
        <f>'Income statement'!G41/'Balance Sheet'!F28</f>
        <v>5.6023060114370749E-3</v>
      </c>
      <c r="S20" s="205">
        <f>'Income statement'!H41/'Balance Sheet'!G28</f>
        <v>1.2831701651054678E-2</v>
      </c>
      <c r="T20" s="205">
        <f>'Income statement'!I41/'Balance Sheet'!H28</f>
        <v>1.2643597606097901E-2</v>
      </c>
      <c r="U20" s="205">
        <f>'Income statement'!J41/'Balance Sheet'!I28</f>
        <v>1.200835388187205E-2</v>
      </c>
      <c r="V20" s="206">
        <f>'Income statement'!K41/'Balance Sheet'!J28</f>
        <v>1.2298140513487581E-2</v>
      </c>
    </row>
    <row r="21" spans="2:22" s="68" customFormat="1" ht="15" thickBot="1" x14ac:dyDescent="0.35">
      <c r="B21" s="64"/>
      <c r="C21" s="65" t="s">
        <v>67</v>
      </c>
      <c r="D21" s="66">
        <v>0.4</v>
      </c>
      <c r="E21" s="67">
        <v>2.1</v>
      </c>
      <c r="F21" s="67">
        <v>1.1000000000000001</v>
      </c>
      <c r="G21" s="71">
        <f>G22*'Income statement'!H4</f>
        <v>2.8005962741407346</v>
      </c>
      <c r="H21" s="71">
        <f>H22*'Income statement'!I4</f>
        <v>4.1541132207256375</v>
      </c>
      <c r="I21" s="71">
        <f>I22*'Income statement'!J4</f>
        <v>5.7444406887025172</v>
      </c>
      <c r="J21" s="71">
        <f>J22*'Income statement'!K4</f>
        <v>7.3982379107989171</v>
      </c>
      <c r="L21"/>
      <c r="M21"/>
      <c r="N21" s="13"/>
      <c r="O21" s="13"/>
      <c r="P21" s="13"/>
      <c r="Q21" s="13"/>
      <c r="R21"/>
      <c r="S21" s="13"/>
      <c r="T21" s="13"/>
      <c r="U21" s="13"/>
      <c r="V21"/>
    </row>
    <row r="22" spans="2:22" x14ac:dyDescent="0.3">
      <c r="B22" s="50"/>
      <c r="C22" s="36" t="s">
        <v>90</v>
      </c>
      <c r="D22" s="157">
        <f>D21/'Income statement'!E4</f>
        <v>2.2484541877459247E-3</v>
      </c>
      <c r="E22" s="45">
        <f>E21/'Income statement'!F4</f>
        <v>6.9398545935228017E-3</v>
      </c>
      <c r="F22" s="45">
        <f>F21/'Income statement'!G4</f>
        <v>2.6128266033254161E-3</v>
      </c>
      <c r="G22" s="158">
        <f>AVERAGE($D$22:$F$22)</f>
        <v>3.9337117948647143E-3</v>
      </c>
      <c r="H22" s="158">
        <f t="shared" ref="H22:J22" si="18">AVERAGE($D$22:$F$22)</f>
        <v>3.9337117948647143E-3</v>
      </c>
      <c r="I22" s="158">
        <f t="shared" si="18"/>
        <v>3.9337117948647143E-3</v>
      </c>
      <c r="J22" s="158">
        <f t="shared" si="18"/>
        <v>3.9337117948647143E-3</v>
      </c>
      <c r="L22" s="191" t="s">
        <v>189</v>
      </c>
      <c r="M22" s="192"/>
      <c r="N22" s="192"/>
      <c r="O22" s="197"/>
      <c r="P22" s="197"/>
      <c r="Q22" s="197"/>
      <c r="R22" s="197"/>
      <c r="S22" s="197"/>
      <c r="T22" s="197"/>
      <c r="U22" s="197"/>
      <c r="V22" s="198"/>
    </row>
    <row r="23" spans="2:22" s="68" customFormat="1" x14ac:dyDescent="0.3">
      <c r="B23" s="64"/>
      <c r="C23" s="65" t="s">
        <v>64</v>
      </c>
      <c r="D23" s="66">
        <v>107.7</v>
      </c>
      <c r="E23" s="67">
        <v>102.6</v>
      </c>
      <c r="F23" s="67">
        <v>81.3</v>
      </c>
      <c r="G23" s="71">
        <f>G24*'Income statement'!H4</f>
        <v>137.48534838171022</v>
      </c>
      <c r="H23" s="71">
        <f>H24*'Income statement'!I4</f>
        <v>203.93146582463547</v>
      </c>
      <c r="I23" s="71">
        <f>I24*'Income statement'!J4</f>
        <v>282.00295652633912</v>
      </c>
      <c r="J23" s="71">
        <f>J24*'Income statement'!K4</f>
        <v>363.19026986102875</v>
      </c>
      <c r="L23" s="182" t="s">
        <v>186</v>
      </c>
      <c r="M23" s="153"/>
      <c r="N23" s="153"/>
      <c r="O23" s="29"/>
      <c r="P23" s="29"/>
      <c r="Q23" s="29"/>
      <c r="R23" s="195">
        <f>('Valuation sheet'!C37:C37)/'Income statement'!G45</f>
        <v>241.59041564414929</v>
      </c>
      <c r="S23" s="29" t="s">
        <v>23</v>
      </c>
      <c r="T23" s="29" t="s">
        <v>23</v>
      </c>
      <c r="U23" s="29" t="s">
        <v>23</v>
      </c>
      <c r="V23" s="30" t="s">
        <v>23</v>
      </c>
    </row>
    <row r="24" spans="2:22" x14ac:dyDescent="0.3">
      <c r="B24" s="50"/>
      <c r="C24" s="60" t="s">
        <v>90</v>
      </c>
      <c r="D24" s="146">
        <f>D23/'Income statement'!E4</f>
        <v>0.60539629005059026</v>
      </c>
      <c r="E24" s="147">
        <f>E23/'Income statement'!F4</f>
        <v>0.33906146728354258</v>
      </c>
      <c r="F24" s="147">
        <f>F23/'Income statement'!G4</f>
        <v>0.19311163895486935</v>
      </c>
      <c r="G24" s="148">
        <f>F24</f>
        <v>0.19311163895486935</v>
      </c>
      <c r="H24" s="148">
        <f t="shared" ref="H24:J24" si="19">G24</f>
        <v>0.19311163895486935</v>
      </c>
      <c r="I24" s="148">
        <f t="shared" si="19"/>
        <v>0.19311163895486935</v>
      </c>
      <c r="J24" s="148">
        <f t="shared" si="19"/>
        <v>0.19311163895486935</v>
      </c>
      <c r="L24" s="182" t="s">
        <v>187</v>
      </c>
      <c r="M24" s="65"/>
      <c r="N24" s="65"/>
      <c r="O24" s="29"/>
      <c r="P24" s="29"/>
      <c r="Q24" s="29"/>
      <c r="R24" s="196">
        <f>('Valuation sheet'!C37:C37)/'Income statement'!G45</f>
        <v>241.59041564414929</v>
      </c>
      <c r="S24" s="29" t="s">
        <v>23</v>
      </c>
      <c r="T24" s="29" t="s">
        <v>23</v>
      </c>
      <c r="U24" s="29" t="s">
        <v>23</v>
      </c>
      <c r="V24" s="30" t="s">
        <v>23</v>
      </c>
    </row>
    <row r="25" spans="2:22" s="68" customFormat="1" x14ac:dyDescent="0.3">
      <c r="B25" s="64"/>
      <c r="C25" s="65" t="s">
        <v>68</v>
      </c>
      <c r="D25" s="66">
        <v>109.7</v>
      </c>
      <c r="E25" s="67">
        <v>114.1</v>
      </c>
      <c r="F25" s="67">
        <v>737.5</v>
      </c>
      <c r="G25" s="67">
        <f>F25</f>
        <v>737.5</v>
      </c>
      <c r="H25" s="67">
        <f t="shared" ref="H25:J25" si="20">G25</f>
        <v>737.5</v>
      </c>
      <c r="I25" s="67">
        <f t="shared" si="20"/>
        <v>737.5</v>
      </c>
      <c r="J25" s="67">
        <f t="shared" si="20"/>
        <v>737.5</v>
      </c>
      <c r="L25" s="182" t="s">
        <v>169</v>
      </c>
      <c r="M25" s="153"/>
      <c r="N25" s="153"/>
      <c r="O25" s="29"/>
      <c r="P25" s="29"/>
      <c r="Q25" s="29"/>
      <c r="R25" s="29">
        <v>0</v>
      </c>
      <c r="S25" s="29" t="s">
        <v>23</v>
      </c>
      <c r="T25" s="29" t="s">
        <v>23</v>
      </c>
      <c r="U25" s="29" t="s">
        <v>23</v>
      </c>
      <c r="V25" s="30" t="s">
        <v>23</v>
      </c>
    </row>
    <row r="26" spans="2:22" s="68" customFormat="1" ht="15" thickBot="1" x14ac:dyDescent="0.35">
      <c r="B26" s="64"/>
      <c r="C26" s="65" t="s">
        <v>69</v>
      </c>
      <c r="D26" s="66">
        <v>856.1</v>
      </c>
      <c r="E26" s="67">
        <v>2077.6</v>
      </c>
      <c r="F26" s="67">
        <v>3358.6</v>
      </c>
      <c r="G26" s="70">
        <f>'Cashflow statement'!D18+F26</f>
        <v>7405.3372409889962</v>
      </c>
      <c r="H26" s="70">
        <f>'Cashflow statement'!E18+G26</f>
        <v>12262.939249329977</v>
      </c>
      <c r="I26" s="70">
        <f>'Cashflow statement'!F18+H26</f>
        <v>18547.254524809359</v>
      </c>
      <c r="J26" s="70">
        <f>'Cashflow statement'!G18+I26</f>
        <v>24549.767334892978</v>
      </c>
      <c r="L26" s="183" t="s">
        <v>188</v>
      </c>
      <c r="M26" s="194"/>
      <c r="N26" s="194"/>
      <c r="O26" s="199"/>
      <c r="P26" s="199"/>
      <c r="Q26" s="199"/>
      <c r="R26" s="200">
        <f>F59*1000000/F62</f>
        <v>0.28685191014053535</v>
      </c>
      <c r="S26" s="199" t="s">
        <v>23</v>
      </c>
      <c r="T26" s="199" t="s">
        <v>23</v>
      </c>
      <c r="U26" s="199" t="s">
        <v>23</v>
      </c>
      <c r="V26" s="201" t="s">
        <v>23</v>
      </c>
    </row>
    <row r="27" spans="2:22" s="135" customFormat="1" x14ac:dyDescent="0.3">
      <c r="B27" s="72" t="s">
        <v>70</v>
      </c>
      <c r="C27" s="132"/>
      <c r="D27" s="133">
        <f t="shared" ref="D27:J27" si="21">D21+D23+D25+D26</f>
        <v>1073.9000000000001</v>
      </c>
      <c r="E27" s="133">
        <f t="shared" si="21"/>
        <v>2296.4</v>
      </c>
      <c r="F27" s="133">
        <f t="shared" si="21"/>
        <v>4178.5</v>
      </c>
      <c r="G27" s="133">
        <f>G21+G23+G25+G26</f>
        <v>8283.1231856448467</v>
      </c>
      <c r="H27" s="133">
        <f t="shared" si="21"/>
        <v>13208.524828375337</v>
      </c>
      <c r="I27" s="133">
        <f t="shared" si="21"/>
        <v>19572.501922024399</v>
      </c>
      <c r="J27" s="133">
        <f t="shared" si="21"/>
        <v>25657.855842664805</v>
      </c>
      <c r="L27" s="75"/>
      <c r="N27" s="13"/>
      <c r="O27" s="13"/>
      <c r="P27" s="13"/>
      <c r="Q27" s="190"/>
      <c r="R27" s="190"/>
      <c r="S27" s="13"/>
      <c r="T27" s="13"/>
      <c r="U27" s="13"/>
      <c r="V27" s="13"/>
    </row>
    <row r="28" spans="2:22" s="135" customFormat="1" x14ac:dyDescent="0.3">
      <c r="B28" s="72" t="s">
        <v>56</v>
      </c>
      <c r="C28" s="132"/>
      <c r="D28" s="133">
        <f>D27+D19</f>
        <v>1112.7</v>
      </c>
      <c r="E28" s="134">
        <f t="shared" ref="E28" si="22">E27+E19</f>
        <v>2376.4</v>
      </c>
      <c r="F28" s="134">
        <f>F27+F19</f>
        <v>4301.8</v>
      </c>
      <c r="G28" s="134">
        <f>G27+G19</f>
        <v>8427.4323781397652</v>
      </c>
      <c r="H28" s="134">
        <f t="shared" ref="H28:I28" si="23">H27+H19</f>
        <v>13376.803195060596</v>
      </c>
      <c r="I28" s="134">
        <f t="shared" si="23"/>
        <v>19766.616135282056</v>
      </c>
      <c r="J28" s="134">
        <f t="shared" ref="J28" si="24">J27+J19</f>
        <v>25878.306206435809</v>
      </c>
      <c r="L28" s="75"/>
      <c r="N28" s="13"/>
      <c r="O28" s="13"/>
      <c r="P28" s="13"/>
      <c r="Q28" s="190"/>
      <c r="R28" s="190"/>
      <c r="S28" s="13"/>
      <c r="T28" s="13"/>
      <c r="U28" s="13"/>
      <c r="V28" s="13"/>
    </row>
    <row r="29" spans="2:22" s="12" customFormat="1" x14ac:dyDescent="0.3">
      <c r="B29" s="50" t="s">
        <v>71</v>
      </c>
      <c r="C29" s="52"/>
      <c r="D29" s="149"/>
      <c r="E29" s="150"/>
      <c r="F29" s="150"/>
      <c r="G29" s="150"/>
      <c r="H29" s="150"/>
      <c r="I29" s="150"/>
      <c r="J29" s="150"/>
    </row>
    <row r="30" spans="2:22" s="68" customFormat="1" x14ac:dyDescent="0.3">
      <c r="B30" s="64"/>
      <c r="C30" s="65" t="s">
        <v>72</v>
      </c>
      <c r="D30" s="66">
        <v>0.3</v>
      </c>
      <c r="E30" s="67">
        <v>0</v>
      </c>
      <c r="F30" s="67">
        <v>2</v>
      </c>
      <c r="G30" s="67">
        <v>2</v>
      </c>
      <c r="H30" s="67">
        <v>2</v>
      </c>
      <c r="I30" s="67">
        <v>2</v>
      </c>
      <c r="J30" s="67">
        <v>2</v>
      </c>
    </row>
    <row r="31" spans="2:22" s="68" customFormat="1" x14ac:dyDescent="0.3">
      <c r="B31" s="64"/>
      <c r="C31" s="65" t="s">
        <v>73</v>
      </c>
      <c r="D31" s="66">
        <v>13.9</v>
      </c>
      <c r="E31" s="67">
        <v>59.6</v>
      </c>
      <c r="F31" s="67">
        <v>95.2</v>
      </c>
      <c r="G31" s="71">
        <f>G32*'Income statement'!H4</f>
        <v>163.74792477000003</v>
      </c>
      <c r="H31" s="71">
        <f>H32*'Income statement'!I4</f>
        <v>242.88664004673373</v>
      </c>
      <c r="I31" s="71">
        <f>I32*'Income statement'!J4</f>
        <v>335.8714179636583</v>
      </c>
      <c r="J31" s="71">
        <f>J32*'Income statement'!K4</f>
        <v>432.56720578897193</v>
      </c>
    </row>
    <row r="32" spans="2:22" x14ac:dyDescent="0.3">
      <c r="B32" s="50"/>
      <c r="C32" s="60" t="s">
        <v>90</v>
      </c>
      <c r="D32" s="143">
        <f>D31/'Income statement'!E4</f>
        <v>7.8133783024170886E-2</v>
      </c>
      <c r="E32" s="144">
        <f>E31/'Income statement'!F4</f>
        <v>0.19695968274950429</v>
      </c>
      <c r="F32" s="144">
        <f>F31/'Income statement'!G4</f>
        <v>0.22612826603325417</v>
      </c>
      <c r="G32" s="145">
        <v>0.23</v>
      </c>
      <c r="H32" s="145">
        <v>0.23</v>
      </c>
      <c r="I32" s="145">
        <v>0.23</v>
      </c>
      <c r="J32" s="145">
        <v>0.23</v>
      </c>
      <c r="S32" s="1">
        <f>S9/2</f>
        <v>-3.4879295807922972</v>
      </c>
    </row>
    <row r="33" spans="2:12" s="68" customFormat="1" x14ac:dyDescent="0.3">
      <c r="B33" s="64"/>
      <c r="C33" s="65" t="s">
        <v>74</v>
      </c>
      <c r="D33" s="66">
        <v>4.7</v>
      </c>
      <c r="E33" s="67">
        <v>7.4</v>
      </c>
      <c r="F33" s="67">
        <v>22.6</v>
      </c>
      <c r="G33" s="71">
        <f>G34*'Income statement'!H4</f>
        <v>35.59737495000001</v>
      </c>
      <c r="H33" s="71">
        <f>H34*'Income statement'!I4</f>
        <v>52.801443488420375</v>
      </c>
      <c r="I33" s="71">
        <f>I34*'Income statement'!J4</f>
        <v>73.015525644273552</v>
      </c>
      <c r="J33" s="71">
        <f>J34*'Income statement'!K4</f>
        <v>94.036349084559106</v>
      </c>
    </row>
    <row r="34" spans="2:12" x14ac:dyDescent="0.3">
      <c r="B34" s="50"/>
      <c r="C34" s="60" t="s">
        <v>90</v>
      </c>
      <c r="D34" s="143">
        <f>D33/'Income statement'!E4</f>
        <v>2.6419336706014616E-2</v>
      </c>
      <c r="E34" s="144">
        <f>E33/'Income statement'!F4</f>
        <v>2.4454725710508923E-2</v>
      </c>
      <c r="F34" s="144">
        <f>F33/'Income statement'!G4</f>
        <v>5.3681710213776726E-2</v>
      </c>
      <c r="G34" s="145">
        <v>0.05</v>
      </c>
      <c r="H34" s="145">
        <v>0.05</v>
      </c>
      <c r="I34" s="145">
        <v>0.05</v>
      </c>
      <c r="J34" s="145">
        <v>0.05</v>
      </c>
    </row>
    <row r="35" spans="2:12" s="135" customFormat="1" x14ac:dyDescent="0.3">
      <c r="B35" s="72" t="s">
        <v>207</v>
      </c>
      <c r="C35" s="132"/>
      <c r="D35" s="133">
        <f t="shared" ref="D35:J35" si="25">D30+D31+D33</f>
        <v>18.900000000000002</v>
      </c>
      <c r="E35" s="134">
        <f t="shared" si="25"/>
        <v>67</v>
      </c>
      <c r="F35" s="134">
        <f t="shared" si="25"/>
        <v>119.80000000000001</v>
      </c>
      <c r="G35" s="134">
        <f t="shared" si="25"/>
        <v>201.34529972000004</v>
      </c>
      <c r="H35" s="134">
        <f t="shared" si="25"/>
        <v>297.68808353515408</v>
      </c>
      <c r="I35" s="134">
        <f t="shared" si="25"/>
        <v>410.88694360793187</v>
      </c>
      <c r="J35" s="134">
        <f t="shared" si="25"/>
        <v>528.60355487353104</v>
      </c>
      <c r="L35" s="10"/>
    </row>
    <row r="36" spans="2:12" x14ac:dyDescent="0.3">
      <c r="B36" s="50" t="s">
        <v>75</v>
      </c>
      <c r="C36" s="60"/>
      <c r="D36" s="77"/>
      <c r="E36" s="71"/>
      <c r="F36" s="71"/>
      <c r="G36" s="71"/>
      <c r="H36" s="71"/>
      <c r="I36" s="71"/>
      <c r="J36" s="71"/>
    </row>
    <row r="37" spans="2:12" s="68" customFormat="1" x14ac:dyDescent="0.3">
      <c r="B37" s="64"/>
      <c r="C37" s="65" t="s">
        <v>73</v>
      </c>
      <c r="D37" s="66">
        <v>0</v>
      </c>
      <c r="E37" s="67">
        <v>4.2</v>
      </c>
      <c r="F37" s="67">
        <v>3.5</v>
      </c>
      <c r="G37" s="76">
        <v>3.5</v>
      </c>
      <c r="H37" s="76">
        <v>3.5</v>
      </c>
      <c r="I37" s="76">
        <v>3.5</v>
      </c>
      <c r="J37" s="76">
        <v>3.5</v>
      </c>
    </row>
    <row r="38" spans="2:12" x14ac:dyDescent="0.3">
      <c r="B38" s="50"/>
      <c r="C38" s="60" t="s">
        <v>90</v>
      </c>
      <c r="D38" s="151">
        <f>D37/'Income statement'!E4</f>
        <v>0</v>
      </c>
      <c r="E38" s="152">
        <f>E37/'Income statement'!F4</f>
        <v>1.3879709187045603E-2</v>
      </c>
      <c r="F38" s="152">
        <f>F37/'Income statement'!G4</f>
        <v>8.3135391923990498E-3</v>
      </c>
      <c r="G38" s="145">
        <f>AVERAGE(D38:F38)</f>
        <v>7.3977494598148853E-3</v>
      </c>
      <c r="H38" s="145">
        <f t="shared" ref="H38:J38" si="26">AVERAGE(E38:G38)</f>
        <v>9.8636659464198476E-3</v>
      </c>
      <c r="I38" s="145">
        <f t="shared" si="26"/>
        <v>8.5249848662112618E-3</v>
      </c>
      <c r="J38" s="145">
        <f t="shared" si="26"/>
        <v>8.5954667574819985E-3</v>
      </c>
    </row>
    <row r="39" spans="2:12" s="68" customFormat="1" x14ac:dyDescent="0.3">
      <c r="B39" s="64"/>
      <c r="C39" s="65" t="s">
        <v>76</v>
      </c>
      <c r="D39" s="66">
        <v>0.4</v>
      </c>
      <c r="E39" s="67">
        <v>0.7</v>
      </c>
      <c r="F39" s="67">
        <v>2</v>
      </c>
      <c r="G39" s="76">
        <f>G40*'Income statement'!H32</f>
        <v>21.601490587427861</v>
      </c>
      <c r="H39" s="76">
        <f>H40*'Income statement'!I32</f>
        <v>33.863787466848954</v>
      </c>
      <c r="I39" s="76">
        <f>I40*'Income statement'!J32</f>
        <v>47.663124351248072</v>
      </c>
      <c r="J39" s="76">
        <f>J40*'Income statement'!K32</f>
        <v>63.355918257041573</v>
      </c>
    </row>
    <row r="40" spans="2:12" x14ac:dyDescent="0.3">
      <c r="B40" s="50"/>
      <c r="C40" s="60" t="s">
        <v>91</v>
      </c>
      <c r="D40" s="157">
        <f>D39/'Income statement'!E31*-1</f>
        <v>-2</v>
      </c>
      <c r="E40" s="45">
        <f>E39/'Income statement'!F31*-1</f>
        <v>0.12962962962962962</v>
      </c>
      <c r="F40" s="45">
        <f>F39/'Income statement'!G31*-1</f>
        <v>0.19607843137254904</v>
      </c>
      <c r="G40" s="158">
        <f>F40</f>
        <v>0.19607843137254904</v>
      </c>
      <c r="H40" s="158">
        <f t="shared" ref="H40:J40" si="27">G40</f>
        <v>0.19607843137254904</v>
      </c>
      <c r="I40" s="158">
        <f t="shared" si="27"/>
        <v>0.19607843137254904</v>
      </c>
      <c r="J40" s="158">
        <f t="shared" si="27"/>
        <v>0.19607843137254904</v>
      </c>
    </row>
    <row r="41" spans="2:12" s="68" customFormat="1" x14ac:dyDescent="0.3">
      <c r="B41" s="64"/>
      <c r="C41" s="65" t="s">
        <v>74</v>
      </c>
      <c r="D41" s="66">
        <v>967</v>
      </c>
      <c r="E41" s="67">
        <v>2107.6999999999998</v>
      </c>
      <c r="F41" s="67">
        <v>3891.2</v>
      </c>
      <c r="G41" s="76">
        <f>G49*'Income statement'!H4</f>
        <v>7800.5714307100252</v>
      </c>
      <c r="H41" s="76">
        <f>H49*'Income statement'!I4</f>
        <v>12478.741144430051</v>
      </c>
      <c r="I41" s="76">
        <f>I49*'Income statement'!J4</f>
        <v>18511.869601678201</v>
      </c>
      <c r="J41" s="76">
        <f>J49*'Income statement'!K4</f>
        <v>24179.879894609694</v>
      </c>
      <c r="L41" s="135"/>
    </row>
    <row r="42" spans="2:12" s="68" customFormat="1" x14ac:dyDescent="0.3">
      <c r="B42" s="64"/>
      <c r="C42" s="65" t="s">
        <v>175</v>
      </c>
      <c r="D42" s="66">
        <v>122.4</v>
      </c>
      <c r="E42" s="67">
        <v>118</v>
      </c>
      <c r="F42" s="67">
        <v>141.19999999999999</v>
      </c>
      <c r="G42" s="76">
        <f>F42</f>
        <v>141.19999999999999</v>
      </c>
      <c r="H42" s="76">
        <f>G42</f>
        <v>141.19999999999999</v>
      </c>
      <c r="I42" s="76">
        <f>H42</f>
        <v>141.19999999999999</v>
      </c>
      <c r="J42" s="76">
        <f>G42</f>
        <v>141.19999999999999</v>
      </c>
      <c r="L42" s="135"/>
    </row>
    <row r="43" spans="2:12" s="68" customFormat="1" x14ac:dyDescent="0.3">
      <c r="B43" s="64"/>
      <c r="C43" s="65" t="s">
        <v>176</v>
      </c>
      <c r="D43" s="66">
        <v>829.6</v>
      </c>
      <c r="E43" s="67">
        <v>1967.3</v>
      </c>
      <c r="F43" s="67">
        <v>3712.7</v>
      </c>
      <c r="G43" s="76">
        <f>G49*'Income statement'!H4-G42-G44-G45-G46-G47</f>
        <v>7622.0714307100252</v>
      </c>
      <c r="H43" s="76">
        <f>H49*'Income statement'!I4-H42-H44-H45-H46-H47</f>
        <v>12300.241144430049</v>
      </c>
      <c r="I43" s="76">
        <f>I49*'Income statement'!J4-I42-I44-I45-I46-I47</f>
        <v>18333.369601678201</v>
      </c>
      <c r="J43" s="76">
        <f>J49*'Income statement'!K4-J42-J44-J45-J46-J47</f>
        <v>24001.379894609694</v>
      </c>
      <c r="L43" s="135"/>
    </row>
    <row r="44" spans="2:12" s="68" customFormat="1" x14ac:dyDescent="0.3">
      <c r="B44" s="64"/>
      <c r="C44" s="65" t="s">
        <v>181</v>
      </c>
      <c r="D44" s="66">
        <v>3</v>
      </c>
      <c r="E44" s="67">
        <v>5.5</v>
      </c>
      <c r="F44" s="67">
        <v>3.1</v>
      </c>
      <c r="G44" s="76">
        <f>F44</f>
        <v>3.1</v>
      </c>
      <c r="H44" s="76">
        <f t="shared" ref="H44:J44" si="28">G44</f>
        <v>3.1</v>
      </c>
      <c r="I44" s="76">
        <f t="shared" si="28"/>
        <v>3.1</v>
      </c>
      <c r="J44" s="76">
        <f t="shared" si="28"/>
        <v>3.1</v>
      </c>
      <c r="L44" s="135"/>
    </row>
    <row r="45" spans="2:12" s="68" customFormat="1" x14ac:dyDescent="0.3">
      <c r="B45" s="64"/>
      <c r="C45" s="65" t="s">
        <v>177</v>
      </c>
      <c r="D45" s="66">
        <v>6.7</v>
      </c>
      <c r="E45" s="67">
        <v>11</v>
      </c>
      <c r="F45" s="67">
        <v>23.1</v>
      </c>
      <c r="G45" s="76">
        <f t="shared" ref="G45:J45" si="29">F45</f>
        <v>23.1</v>
      </c>
      <c r="H45" s="76">
        <f t="shared" si="29"/>
        <v>23.1</v>
      </c>
      <c r="I45" s="76">
        <f t="shared" si="29"/>
        <v>23.1</v>
      </c>
      <c r="J45" s="76">
        <f t="shared" si="29"/>
        <v>23.1</v>
      </c>
      <c r="L45" s="12"/>
    </row>
    <row r="46" spans="2:12" s="68" customFormat="1" x14ac:dyDescent="0.3">
      <c r="B46" s="64"/>
      <c r="C46" s="65" t="s">
        <v>178</v>
      </c>
      <c r="D46" s="66">
        <v>0.9</v>
      </c>
      <c r="E46" s="67">
        <v>1</v>
      </c>
      <c r="F46" s="67">
        <v>3.2</v>
      </c>
      <c r="G46" s="76">
        <f t="shared" ref="G46:J46" si="30">F46</f>
        <v>3.2</v>
      </c>
      <c r="H46" s="76">
        <f t="shared" si="30"/>
        <v>3.2</v>
      </c>
      <c r="I46" s="76">
        <f t="shared" si="30"/>
        <v>3.2</v>
      </c>
      <c r="J46" s="76">
        <f t="shared" si="30"/>
        <v>3.2</v>
      </c>
    </row>
    <row r="47" spans="2:12" s="68" customFormat="1" x14ac:dyDescent="0.3">
      <c r="B47" s="64"/>
      <c r="C47" s="65" t="s">
        <v>179</v>
      </c>
      <c r="D47" s="66">
        <v>4.4000000000000004</v>
      </c>
      <c r="E47" s="67">
        <v>4.9000000000000004</v>
      </c>
      <c r="F47" s="67">
        <v>7.9</v>
      </c>
      <c r="G47" s="76">
        <f t="shared" ref="G47:J47" si="31">F47</f>
        <v>7.9</v>
      </c>
      <c r="H47" s="76">
        <f t="shared" si="31"/>
        <v>7.9</v>
      </c>
      <c r="I47" s="76">
        <f t="shared" si="31"/>
        <v>7.9</v>
      </c>
      <c r="J47" s="76">
        <f t="shared" si="31"/>
        <v>7.9</v>
      </c>
    </row>
    <row r="48" spans="2:12" s="68" customFormat="1" x14ac:dyDescent="0.3">
      <c r="B48" s="64"/>
      <c r="C48" s="65"/>
      <c r="D48" s="66"/>
      <c r="E48" s="66"/>
      <c r="F48" s="66"/>
      <c r="G48" s="165"/>
      <c r="H48" s="76"/>
      <c r="I48" s="76"/>
      <c r="J48" s="76"/>
      <c r="L48"/>
    </row>
    <row r="49" spans="2:12" x14ac:dyDescent="0.3">
      <c r="B49" s="50"/>
      <c r="C49" s="29" t="s">
        <v>90</v>
      </c>
      <c r="D49" s="159">
        <f>D41/'Income statement'!E4</f>
        <v>5.435637998875773</v>
      </c>
      <c r="E49" s="30">
        <f>E41/'Income statement'!F4</f>
        <v>6.9653007270323846</v>
      </c>
      <c r="F49" s="30">
        <f>F41/'Income statement'!G4</f>
        <v>9.2427553444180521</v>
      </c>
      <c r="G49" s="158">
        <v>10.956666666666701</v>
      </c>
      <c r="H49" s="158">
        <v>11.8166666666667</v>
      </c>
      <c r="I49" s="158">
        <v>12.6766666666667</v>
      </c>
      <c r="J49" s="158">
        <v>12.856666666666699</v>
      </c>
      <c r="L49" s="68"/>
    </row>
    <row r="50" spans="2:12" s="75" customFormat="1" x14ac:dyDescent="0.3">
      <c r="B50" s="72" t="s">
        <v>77</v>
      </c>
      <c r="C50" s="69"/>
      <c r="D50" s="73">
        <f t="shared" ref="D50:J50" si="32">D41+D39+D37</f>
        <v>967.4</v>
      </c>
      <c r="E50" s="73">
        <f t="shared" si="32"/>
        <v>2112.5999999999995</v>
      </c>
      <c r="F50" s="73">
        <f t="shared" si="32"/>
        <v>3896.7</v>
      </c>
      <c r="G50" s="73">
        <f>G41+G39+G37</f>
        <v>7825.6729212974533</v>
      </c>
      <c r="H50" s="73">
        <f>H41+H39+H37</f>
        <v>12516.1049318969</v>
      </c>
      <c r="I50" s="73">
        <f t="shared" si="32"/>
        <v>18563.032726029451</v>
      </c>
      <c r="J50" s="73">
        <f t="shared" si="32"/>
        <v>24246.735812866737</v>
      </c>
      <c r="L50"/>
    </row>
    <row r="51" spans="2:12" s="75" customFormat="1" x14ac:dyDescent="0.3">
      <c r="B51" s="72" t="s">
        <v>57</v>
      </c>
      <c r="C51" s="69"/>
      <c r="D51" s="73">
        <f t="shared" ref="D51:J51" si="33">D50+D35</f>
        <v>986.3</v>
      </c>
      <c r="E51" s="74">
        <f t="shared" si="33"/>
        <v>2179.5999999999995</v>
      </c>
      <c r="F51" s="74">
        <f t="shared" si="33"/>
        <v>4016.5</v>
      </c>
      <c r="G51" s="74">
        <f t="shared" si="33"/>
        <v>8027.0182210174535</v>
      </c>
      <c r="H51" s="74">
        <f>H50+H35</f>
        <v>12813.793015432055</v>
      </c>
      <c r="I51" s="74">
        <f t="shared" si="33"/>
        <v>18973.919669637384</v>
      </c>
      <c r="J51" s="74">
        <f t="shared" si="33"/>
        <v>24775.339367740267</v>
      </c>
      <c r="L51" s="135"/>
    </row>
    <row r="52" spans="2:12" s="11" customFormat="1" x14ac:dyDescent="0.3">
      <c r="B52" s="50" t="s">
        <v>78</v>
      </c>
      <c r="C52" s="83"/>
      <c r="D52" s="140"/>
      <c r="E52" s="141"/>
      <c r="F52" s="141"/>
      <c r="G52" s="141"/>
      <c r="H52" s="141"/>
      <c r="I52" s="141"/>
      <c r="J52" s="141"/>
      <c r="L52"/>
    </row>
    <row r="53" spans="2:12" s="68" customFormat="1" x14ac:dyDescent="0.3">
      <c r="B53" s="64"/>
      <c r="C53" s="65" t="s">
        <v>79</v>
      </c>
      <c r="D53" s="66">
        <v>0</v>
      </c>
      <c r="E53" s="67">
        <v>0</v>
      </c>
      <c r="F53" s="67">
        <v>0</v>
      </c>
      <c r="G53" s="71">
        <v>0</v>
      </c>
      <c r="H53" s="71">
        <v>0</v>
      </c>
      <c r="I53" s="71">
        <v>0</v>
      </c>
      <c r="J53" s="71">
        <v>0</v>
      </c>
      <c r="L53"/>
    </row>
    <row r="54" spans="2:12" s="68" customFormat="1" x14ac:dyDescent="0.3">
      <c r="B54" s="64"/>
      <c r="C54" s="65" t="s">
        <v>80</v>
      </c>
      <c r="D54" s="66">
        <v>120.2</v>
      </c>
      <c r="E54" s="67">
        <v>120.5</v>
      </c>
      <c r="F54" s="67">
        <v>1.4</v>
      </c>
      <c r="G54" s="67">
        <f>F54</f>
        <v>1.4</v>
      </c>
      <c r="H54" s="67">
        <f t="shared" ref="H54:J54" si="34">G54</f>
        <v>1.4</v>
      </c>
      <c r="I54" s="67">
        <f t="shared" si="34"/>
        <v>1.4</v>
      </c>
      <c r="J54" s="67">
        <f t="shared" si="34"/>
        <v>1.4</v>
      </c>
    </row>
    <row r="55" spans="2:12" s="68" customFormat="1" x14ac:dyDescent="0.3">
      <c r="B55" s="64"/>
      <c r="C55" s="65" t="s">
        <v>81</v>
      </c>
      <c r="D55" s="66">
        <v>11.8</v>
      </c>
      <c r="E55" s="67">
        <v>63.8</v>
      </c>
      <c r="F55" s="67">
        <v>124.5</v>
      </c>
      <c r="G55" s="67">
        <f>F55</f>
        <v>124.5</v>
      </c>
      <c r="H55" s="67">
        <f t="shared" ref="H55:J55" si="35">G55</f>
        <v>124.5</v>
      </c>
      <c r="I55" s="67">
        <f t="shared" si="35"/>
        <v>124.5</v>
      </c>
      <c r="J55" s="67">
        <f t="shared" si="35"/>
        <v>124.5</v>
      </c>
      <c r="L55"/>
    </row>
    <row r="56" spans="2:12" s="68" customFormat="1" x14ac:dyDescent="0.3">
      <c r="B56" s="64"/>
      <c r="C56" s="65" t="s">
        <v>82</v>
      </c>
      <c r="D56" s="66">
        <v>1.2</v>
      </c>
      <c r="E56" s="67">
        <v>2.2999999999999998</v>
      </c>
      <c r="F56" s="67">
        <v>-0.7</v>
      </c>
      <c r="G56" s="67">
        <f>F56</f>
        <v>-0.7</v>
      </c>
      <c r="H56" s="67">
        <f t="shared" ref="H56:J56" si="36">G56</f>
        <v>-0.7</v>
      </c>
      <c r="I56" s="67">
        <f t="shared" si="36"/>
        <v>-0.7</v>
      </c>
      <c r="J56" s="67">
        <f t="shared" si="36"/>
        <v>-0.7</v>
      </c>
    </row>
    <row r="57" spans="2:12" s="68" customFormat="1" x14ac:dyDescent="0.3">
      <c r="B57" s="64"/>
      <c r="C57" s="65" t="s">
        <v>83</v>
      </c>
      <c r="D57" s="66">
        <v>-7.6</v>
      </c>
      <c r="E57" s="67">
        <v>8.9</v>
      </c>
      <c r="F57" s="67">
        <v>162.6</v>
      </c>
      <c r="G57" s="224">
        <f>F57+'Income statement'!H41</f>
        <v>270.73829796072766</v>
      </c>
      <c r="H57" s="224">
        <f>G57+'Income statement'!I41</f>
        <v>439.86921481503856</v>
      </c>
      <c r="I57" s="224">
        <f>H57+'Income statement'!J41</f>
        <v>677.23373641462751</v>
      </c>
      <c r="J57" s="224">
        <f>I57+'Income statement'!K41</f>
        <v>995.48878239243288</v>
      </c>
      <c r="L57"/>
    </row>
    <row r="58" spans="2:12" s="68" customFormat="1" x14ac:dyDescent="0.3">
      <c r="B58" s="64"/>
      <c r="C58" s="65" t="s">
        <v>40</v>
      </c>
      <c r="D58" s="66">
        <v>0.8</v>
      </c>
      <c r="E58" s="67">
        <v>1.3</v>
      </c>
      <c r="F58" s="67">
        <v>-2.5</v>
      </c>
      <c r="G58" s="67">
        <f>F58</f>
        <v>-2.5</v>
      </c>
      <c r="H58" s="67">
        <f t="shared" ref="H58:J58" si="37">G58</f>
        <v>-2.5</v>
      </c>
      <c r="I58" s="67">
        <f t="shared" si="37"/>
        <v>-2.5</v>
      </c>
      <c r="J58" s="67">
        <f t="shared" si="37"/>
        <v>-2.5</v>
      </c>
      <c r="L58" s="135"/>
    </row>
    <row r="59" spans="2:12" s="78" customFormat="1" x14ac:dyDescent="0.3">
      <c r="B59" s="64"/>
      <c r="C59" s="139" t="s">
        <v>58</v>
      </c>
      <c r="D59" s="140">
        <f>SUM(D53:D58)</f>
        <v>126.39999999999999</v>
      </c>
      <c r="E59" s="141">
        <f t="shared" ref="E59" si="38">SUM(E53:E58)</f>
        <v>196.80000000000004</v>
      </c>
      <c r="F59" s="141">
        <f>SUM(F53:F58)</f>
        <v>285.3</v>
      </c>
      <c r="G59" s="141">
        <f t="shared" ref="G59" si="39">SUM(G53:G58)</f>
        <v>393.43829796072765</v>
      </c>
      <c r="H59" s="141">
        <f t="shared" ref="H59:J59" si="40">SUM(H53:H58)</f>
        <v>562.56921481503855</v>
      </c>
      <c r="I59" s="141">
        <f>SUM(I53:I58)</f>
        <v>799.93373641462756</v>
      </c>
      <c r="J59" s="141">
        <f t="shared" si="40"/>
        <v>1118.1887823924328</v>
      </c>
      <c r="L59"/>
    </row>
    <row r="60" spans="2:12" s="135" customFormat="1" ht="15" thickBot="1" x14ac:dyDescent="0.35">
      <c r="B60" s="131" t="s">
        <v>59</v>
      </c>
      <c r="C60" s="136"/>
      <c r="D60" s="137">
        <f>D59+D51</f>
        <v>1112.7</v>
      </c>
      <c r="E60" s="138">
        <f t="shared" ref="E60" si="41">E59+E51</f>
        <v>2376.3999999999996</v>
      </c>
      <c r="F60" s="138">
        <f>F59+F51</f>
        <v>4301.8</v>
      </c>
      <c r="G60" s="138">
        <f>G59+G51</f>
        <v>8420.4565189781806</v>
      </c>
      <c r="H60" s="138">
        <f t="shared" ref="H60:J60" si="42">H59+H51</f>
        <v>13376.362230247094</v>
      </c>
      <c r="I60" s="138">
        <f t="shared" si="42"/>
        <v>19773.853406052011</v>
      </c>
      <c r="J60" s="138">
        <f t="shared" si="42"/>
        <v>25893.528150132701</v>
      </c>
      <c r="L60" s="68"/>
    </row>
    <row r="61" spans="2:12" x14ac:dyDescent="0.3">
      <c r="B61" s="50"/>
      <c r="C61" s="18"/>
      <c r="D61" s="55"/>
      <c r="E61" s="26"/>
      <c r="F61" s="26"/>
      <c r="G61" s="26"/>
      <c r="H61" s="26"/>
      <c r="I61" s="26"/>
      <c r="J61" s="26"/>
    </row>
    <row r="62" spans="2:12" x14ac:dyDescent="0.3">
      <c r="B62" s="50" t="s">
        <v>84</v>
      </c>
      <c r="C62" s="18"/>
      <c r="D62" s="55">
        <f>'Income statement'!E44</f>
        <v>994589856</v>
      </c>
      <c r="E62" s="55">
        <f>'Income statement'!F44</f>
        <v>994589856</v>
      </c>
      <c r="F62" s="55">
        <f>'Income statement'!G44</f>
        <v>994589856</v>
      </c>
      <c r="G62" s="55">
        <f>'Income statement'!H44</f>
        <v>994589856</v>
      </c>
      <c r="H62" s="55">
        <f>'Income statement'!I44</f>
        <v>994589856</v>
      </c>
      <c r="I62" s="55">
        <f>'Income statement'!J44</f>
        <v>994589856</v>
      </c>
      <c r="J62" s="55">
        <f>'Income statement'!K44</f>
        <v>994589856</v>
      </c>
      <c r="L62" s="68"/>
    </row>
    <row r="63" spans="2:12" x14ac:dyDescent="0.3">
      <c r="B63" s="50"/>
      <c r="C63" s="153"/>
      <c r="D63" s="55"/>
      <c r="E63" s="154"/>
      <c r="F63" s="154"/>
      <c r="G63" s="154"/>
      <c r="H63" s="154"/>
      <c r="I63" s="154"/>
      <c r="J63" s="154"/>
    </row>
    <row r="64" spans="2:12" ht="15" thickBot="1" x14ac:dyDescent="0.35">
      <c r="B64" s="53" t="s">
        <v>85</v>
      </c>
      <c r="C64" s="32"/>
      <c r="D64" s="56" t="str">
        <f t="shared" ref="D64:J64" si="43">IF(D60=D28,"Yes","No")</f>
        <v>Yes</v>
      </c>
      <c r="E64" s="34" t="str">
        <f t="shared" si="43"/>
        <v>Yes</v>
      </c>
      <c r="F64" s="34" t="str">
        <f t="shared" si="43"/>
        <v>Yes</v>
      </c>
      <c r="G64" s="34" t="str">
        <f t="shared" si="43"/>
        <v>No</v>
      </c>
      <c r="H64" s="34" t="str">
        <f t="shared" si="43"/>
        <v>No</v>
      </c>
      <c r="I64" s="34" t="str">
        <f t="shared" si="43"/>
        <v>No</v>
      </c>
      <c r="J64" s="34" t="str">
        <f t="shared" si="43"/>
        <v>No</v>
      </c>
    </row>
    <row r="65" spans="5:7" x14ac:dyDescent="0.3">
      <c r="G65" s="172"/>
    </row>
    <row r="68" spans="5:7" x14ac:dyDescent="0.3">
      <c r="G68" s="1"/>
    </row>
    <row r="72" spans="5:7" x14ac:dyDescent="0.3">
      <c r="E72" s="1">
        <f>D60-D28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0F75-0735-4844-B3C9-5F154C3E3188}">
  <dimension ref="B1:G21"/>
  <sheetViews>
    <sheetView workbookViewId="0">
      <selection activeCell="I20" sqref="I20"/>
    </sheetView>
  </sheetViews>
  <sheetFormatPr defaultRowHeight="14.4" x14ac:dyDescent="0.3"/>
  <cols>
    <col min="2" max="2" width="3.33203125" style="11" customWidth="1"/>
    <col min="3" max="3" width="26.77734375" bestFit="1" customWidth="1"/>
    <col min="4" max="5" width="10.44140625" bestFit="1" customWidth="1"/>
    <col min="6" max="6" width="11.44140625" bestFit="1" customWidth="1"/>
    <col min="7" max="7" width="10.44140625" bestFit="1" customWidth="1"/>
  </cols>
  <sheetData>
    <row r="1" spans="2:7" ht="15" thickBot="1" x14ac:dyDescent="0.35"/>
    <row r="2" spans="2:7" x14ac:dyDescent="0.3">
      <c r="B2" s="49"/>
      <c r="C2" s="216"/>
      <c r="D2" s="216">
        <v>2022</v>
      </c>
      <c r="E2" s="216">
        <v>2023</v>
      </c>
      <c r="F2" s="216">
        <v>2024</v>
      </c>
      <c r="G2" s="80">
        <v>2025</v>
      </c>
    </row>
    <row r="3" spans="2:7" x14ac:dyDescent="0.3">
      <c r="B3" s="50" t="s">
        <v>102</v>
      </c>
      <c r="C3" s="153"/>
      <c r="D3" s="217">
        <f>'Income statement'!H41</f>
        <v>108.13829796072768</v>
      </c>
      <c r="E3" s="217">
        <f>'Income statement'!I41</f>
        <v>169.1309168543109</v>
      </c>
      <c r="F3" s="217">
        <f>'Income statement'!J41</f>
        <v>237.36452159958898</v>
      </c>
      <c r="G3" s="218">
        <f>'Income statement'!K41</f>
        <v>318.25504597780537</v>
      </c>
    </row>
    <row r="4" spans="2:7" x14ac:dyDescent="0.3">
      <c r="B4" s="50"/>
      <c r="C4" s="153" t="s">
        <v>192</v>
      </c>
      <c r="D4" s="217">
        <f>'Income statement'!H15</f>
        <v>26.650121646838592</v>
      </c>
      <c r="E4" s="217">
        <f>'Income statement'!I15</f>
        <v>30.977673316147634</v>
      </c>
      <c r="F4" s="217">
        <f>'Income statement'!J15</f>
        <v>34.624774281231332</v>
      </c>
      <c r="G4" s="218">
        <f>'Income statement'!K15</f>
        <v>38.649225598427705</v>
      </c>
    </row>
    <row r="5" spans="2:7" x14ac:dyDescent="0.3">
      <c r="B5" s="50"/>
      <c r="C5" s="153" t="s">
        <v>193</v>
      </c>
      <c r="D5" s="217">
        <f>'Balance Sheet'!F23-'Balance Sheet'!G23+'Balance Sheet'!F21-'Balance Sheet'!G21</f>
        <v>-57.885944655850963</v>
      </c>
      <c r="E5" s="217">
        <f>'Balance Sheet'!G23-'Balance Sheet'!H23+'Balance Sheet'!G21-'Balance Sheet'!H21</f>
        <v>-67.799634389510146</v>
      </c>
      <c r="F5" s="217">
        <f>'Balance Sheet'!H23-'Balance Sheet'!I23+'Balance Sheet'!H21-'Balance Sheet'!I21</f>
        <v>-79.661818169680529</v>
      </c>
      <c r="G5" s="218">
        <f>'Balance Sheet'!I23-'Balance Sheet'!J23+'Balance Sheet'!I21-'Balance Sheet'!J21</f>
        <v>-82.841110556786035</v>
      </c>
    </row>
    <row r="6" spans="2:7" x14ac:dyDescent="0.3">
      <c r="B6" s="50"/>
      <c r="C6" s="153" t="s">
        <v>194</v>
      </c>
      <c r="D6" s="217">
        <v>0</v>
      </c>
      <c r="E6" s="217">
        <v>0</v>
      </c>
      <c r="F6" s="217">
        <v>0</v>
      </c>
      <c r="G6" s="218">
        <v>0</v>
      </c>
    </row>
    <row r="7" spans="2:7" x14ac:dyDescent="0.3">
      <c r="B7" s="50"/>
      <c r="C7" s="223" t="s">
        <v>206</v>
      </c>
      <c r="D7" s="217">
        <f>'Balance Sheet'!G39-'Balance Sheet'!F39+'Balance Sheet'!G30-'Balance Sheet'!F30</f>
        <v>19.601490587427861</v>
      </c>
      <c r="E7" s="217">
        <f>'Balance Sheet'!H39-'Balance Sheet'!G39+'Balance Sheet'!H30-'Balance Sheet'!G30</f>
        <v>12.262296879421093</v>
      </c>
      <c r="F7" s="217">
        <f>'Balance Sheet'!I39-'Balance Sheet'!H39+'Balance Sheet'!I30-'Balance Sheet'!H30</f>
        <v>13.799336884399118</v>
      </c>
      <c r="G7" s="218">
        <f>'Balance Sheet'!J39-'Balance Sheet'!I39+'Balance Sheet'!J30-'Balance Sheet'!I30</f>
        <v>15.692793905793501</v>
      </c>
    </row>
    <row r="8" spans="2:7" x14ac:dyDescent="0.3">
      <c r="B8" s="50"/>
      <c r="C8" s="153" t="s">
        <v>195</v>
      </c>
      <c r="D8" s="217">
        <f>'Balance Sheet'!G41-'Balance Sheet'!F41+'Balance Sheet'!G33-'Balance Sheet'!F33</f>
        <v>3922.3688056600254</v>
      </c>
      <c r="E8" s="217">
        <f>'Balance Sheet'!H41-'Balance Sheet'!G41</f>
        <v>4678.1697137200254</v>
      </c>
      <c r="F8" s="217">
        <f>'Balance Sheet'!I41-'Balance Sheet'!H41</f>
        <v>6033.1284572481509</v>
      </c>
      <c r="G8" s="218">
        <f>'Balance Sheet'!J41-'Balance Sheet'!I41</f>
        <v>5668.0102929314926</v>
      </c>
    </row>
    <row r="9" spans="2:7" x14ac:dyDescent="0.3">
      <c r="B9" s="50" t="s">
        <v>197</v>
      </c>
      <c r="C9" s="153"/>
      <c r="D9" s="219">
        <f>SUM(D3:D8)</f>
        <v>4018.8727711991687</v>
      </c>
      <c r="E9" s="219">
        <f t="shared" ref="E9:G9" si="0">SUM(E3:E8)</f>
        <v>4822.7409663803946</v>
      </c>
      <c r="F9" s="219">
        <f t="shared" si="0"/>
        <v>6239.25527184369</v>
      </c>
      <c r="G9" s="220">
        <f t="shared" si="0"/>
        <v>5957.7662478567336</v>
      </c>
    </row>
    <row r="10" spans="2:7" x14ac:dyDescent="0.3">
      <c r="B10" s="50" t="s">
        <v>203</v>
      </c>
      <c r="C10" s="153"/>
      <c r="D10" s="113"/>
      <c r="E10" s="113"/>
      <c r="F10" s="113"/>
      <c r="G10" s="104"/>
    </row>
    <row r="11" spans="2:7" x14ac:dyDescent="0.3">
      <c r="B11" s="50"/>
      <c r="C11" s="153" t="s">
        <v>88</v>
      </c>
      <c r="D11" s="217">
        <f>'Balance Sheet'!G17</f>
        <v>-40.683454980171994</v>
      </c>
      <c r="E11" s="217">
        <f>'Balance Sheet'!H17</f>
        <v>-44.277673316147627</v>
      </c>
      <c r="F11" s="217">
        <f>'Balance Sheet'!I17</f>
        <v>-47.924774281231336</v>
      </c>
      <c r="G11" s="218">
        <f>'Balance Sheet'!J17</f>
        <v>-51.949225598427702</v>
      </c>
    </row>
    <row r="12" spans="2:7" x14ac:dyDescent="0.3">
      <c r="B12" s="50" t="s">
        <v>204</v>
      </c>
      <c r="C12" s="153"/>
      <c r="D12" s="219">
        <f>D11</f>
        <v>-40.683454980171994</v>
      </c>
      <c r="E12" s="219">
        <f t="shared" ref="E12:G12" si="1">E11</f>
        <v>-44.277673316147627</v>
      </c>
      <c r="F12" s="219">
        <f t="shared" si="1"/>
        <v>-47.924774281231336</v>
      </c>
      <c r="G12" s="220">
        <f t="shared" si="1"/>
        <v>-51.949225598427702</v>
      </c>
    </row>
    <row r="13" spans="2:7" x14ac:dyDescent="0.3">
      <c r="B13" s="50" t="s">
        <v>103</v>
      </c>
      <c r="C13" s="153"/>
      <c r="D13" s="113"/>
      <c r="E13" s="113"/>
      <c r="F13" s="113"/>
      <c r="G13" s="104"/>
    </row>
    <row r="14" spans="2:7" x14ac:dyDescent="0.3">
      <c r="B14" s="50"/>
      <c r="C14" s="153" t="s">
        <v>198</v>
      </c>
      <c r="D14" s="217">
        <f>'Balance Sheet'!G31-'Balance Sheet'!F31</f>
        <v>68.547924770000023</v>
      </c>
      <c r="E14" s="217">
        <f>'Balance Sheet'!H31-'Balance Sheet'!G31</f>
        <v>79.138715276733706</v>
      </c>
      <c r="F14" s="217">
        <f>'Balance Sheet'!I31-'Balance Sheet'!H31</f>
        <v>92.984777916924571</v>
      </c>
      <c r="G14" s="218">
        <f>'Balance Sheet'!J31-'Balance Sheet'!I31</f>
        <v>96.69578782531363</v>
      </c>
    </row>
    <row r="15" spans="2:7" x14ac:dyDescent="0.3">
      <c r="B15" s="50"/>
      <c r="C15" s="153" t="s">
        <v>199</v>
      </c>
      <c r="D15" s="217">
        <v>0</v>
      </c>
      <c r="E15" s="217">
        <v>0</v>
      </c>
      <c r="F15" s="217">
        <v>0</v>
      </c>
      <c r="G15" s="218">
        <v>0</v>
      </c>
    </row>
    <row r="16" spans="2:7" x14ac:dyDescent="0.3">
      <c r="B16" s="50"/>
      <c r="C16" s="153" t="s">
        <v>200</v>
      </c>
      <c r="D16" s="217">
        <v>0</v>
      </c>
      <c r="E16" s="217">
        <v>0</v>
      </c>
      <c r="F16" s="217">
        <v>0</v>
      </c>
      <c r="G16" s="218">
        <v>0</v>
      </c>
    </row>
    <row r="17" spans="2:7" x14ac:dyDescent="0.3">
      <c r="B17" s="50" t="s">
        <v>202</v>
      </c>
      <c r="C17" s="153"/>
      <c r="D17" s="217">
        <f>SUM(D14:D16)</f>
        <v>68.547924770000023</v>
      </c>
      <c r="E17" s="217">
        <f t="shared" ref="E17:G17" si="2">SUM(E14:E16)</f>
        <v>79.138715276733706</v>
      </c>
      <c r="F17" s="217">
        <f t="shared" si="2"/>
        <v>92.984777916924571</v>
      </c>
      <c r="G17" s="218">
        <f t="shared" si="2"/>
        <v>96.69578782531363</v>
      </c>
    </row>
    <row r="18" spans="2:7" ht="15" thickBot="1" x14ac:dyDescent="0.35">
      <c r="B18" s="53" t="s">
        <v>201</v>
      </c>
      <c r="C18" s="155"/>
      <c r="D18" s="221">
        <f>D17+D11+D9</f>
        <v>4046.7372409889967</v>
      </c>
      <c r="E18" s="221">
        <f t="shared" ref="E18:G18" si="3">E17+E11+E9</f>
        <v>4857.6020083409803</v>
      </c>
      <c r="F18" s="221">
        <f t="shared" si="3"/>
        <v>6284.3152754793837</v>
      </c>
      <c r="G18" s="222">
        <f t="shared" si="3"/>
        <v>6002.5128100836191</v>
      </c>
    </row>
    <row r="21" spans="2:7" x14ac:dyDescent="0.3">
      <c r="B21" s="11" t="s">
        <v>214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5E53-671E-4F73-A49B-349BE6041DFA}">
  <dimension ref="B1:T38"/>
  <sheetViews>
    <sheetView showGridLines="0" zoomScale="80" zoomScaleNormal="80" workbookViewId="0">
      <selection activeCell="L33" sqref="L33"/>
    </sheetView>
  </sheetViews>
  <sheetFormatPr defaultRowHeight="14.4" x14ac:dyDescent="0.3"/>
  <cols>
    <col min="2" max="2" width="21.33203125" bestFit="1" customWidth="1"/>
    <col min="3" max="3" width="12.44140625" customWidth="1"/>
    <col min="4" max="4" width="12.109375" bestFit="1" customWidth="1"/>
    <col min="5" max="6" width="12.21875" bestFit="1" customWidth="1"/>
    <col min="8" max="8" width="15.44140625" customWidth="1"/>
    <col min="9" max="9" width="9.33203125" customWidth="1"/>
  </cols>
  <sheetData>
    <row r="1" spans="2:13" ht="15" thickBot="1" x14ac:dyDescent="0.35"/>
    <row r="2" spans="2:13" s="11" customFormat="1" x14ac:dyDescent="0.3">
      <c r="B2" s="275" t="s">
        <v>216</v>
      </c>
      <c r="C2" s="265"/>
      <c r="D2" s="265"/>
      <c r="E2" s="265"/>
      <c r="F2" s="266"/>
      <c r="H2" s="275" t="s">
        <v>217</v>
      </c>
      <c r="I2" s="265"/>
      <c r="J2" s="265"/>
      <c r="K2" s="265"/>
      <c r="L2" s="265"/>
      <c r="M2" s="266"/>
    </row>
    <row r="3" spans="2:13" x14ac:dyDescent="0.3">
      <c r="B3" s="17" t="s">
        <v>124</v>
      </c>
      <c r="C3" s="153">
        <v>2022</v>
      </c>
      <c r="D3" s="153">
        <v>2023</v>
      </c>
      <c r="E3" s="153">
        <v>2024</v>
      </c>
      <c r="F3" s="154">
        <v>2025</v>
      </c>
      <c r="H3" s="17" t="s">
        <v>137</v>
      </c>
      <c r="I3" s="153"/>
      <c r="J3" s="153">
        <v>2022</v>
      </c>
      <c r="K3" s="153">
        <v>2023</v>
      </c>
      <c r="L3" s="153">
        <v>2024</v>
      </c>
      <c r="M3" s="154">
        <v>2025</v>
      </c>
    </row>
    <row r="4" spans="2:13" x14ac:dyDescent="0.3">
      <c r="B4" s="17" t="s">
        <v>12</v>
      </c>
      <c r="C4" s="113">
        <f>'Income statement'!H4</f>
        <v>711.94749900000011</v>
      </c>
      <c r="D4" s="113">
        <f>'Income statement'!I4</f>
        <v>1056.0288697684075</v>
      </c>
      <c r="E4" s="113">
        <f>'Income statement'!J4</f>
        <v>1460.3105128854709</v>
      </c>
      <c r="F4" s="104">
        <f>'Income statement'!K4</f>
        <v>1880.7269816911821</v>
      </c>
      <c r="H4" s="17" t="s">
        <v>136</v>
      </c>
      <c r="I4" s="153"/>
      <c r="J4" s="255">
        <f>'Income statement'!H45</f>
        <v>0.10872652411279739</v>
      </c>
      <c r="K4" s="113">
        <f>'Income statement'!I45</f>
        <v>0.17005091680153925</v>
      </c>
      <c r="L4" s="113">
        <f>'Income statement'!J45</f>
        <v>0.2386556832121853</v>
      </c>
      <c r="M4" s="104">
        <f>'Income statement'!K45</f>
        <v>0.31998621749245487</v>
      </c>
    </row>
    <row r="5" spans="2:13" x14ac:dyDescent="0.3">
      <c r="B5" s="17" t="s">
        <v>125</v>
      </c>
      <c r="C5" s="58">
        <f>'Income statement'!H5</f>
        <v>0.69108669596199546</v>
      </c>
      <c r="D5" s="58">
        <f>'Income statement'!I5</f>
        <v>0.48329598917294231</v>
      </c>
      <c r="E5" s="58">
        <f>'Income statement'!J5</f>
        <v>0.38283199890711739</v>
      </c>
      <c r="F5" s="59">
        <f>'Income statement'!K5</f>
        <v>0.28789525590348441</v>
      </c>
      <c r="G5" s="57"/>
      <c r="H5" s="17" t="s">
        <v>138</v>
      </c>
      <c r="I5" s="153"/>
      <c r="J5" s="29">
        <f>J4/'Income statement'!G45-1</f>
        <v>3.487066305424384</v>
      </c>
      <c r="K5" s="29">
        <f>K4/J4-1</f>
        <v>0.56402421754163146</v>
      </c>
      <c r="L5" s="29">
        <f t="shared" ref="L5:M5" si="0">L4/K4-1</f>
        <v>0.40343661593258218</v>
      </c>
      <c r="M5" s="30">
        <f t="shared" si="0"/>
        <v>0.34078607802505068</v>
      </c>
    </row>
    <row r="6" spans="2:13" x14ac:dyDescent="0.3">
      <c r="B6" s="17"/>
      <c r="C6" s="153"/>
      <c r="D6" s="153"/>
      <c r="E6" s="153"/>
      <c r="F6" s="154"/>
      <c r="H6" s="17"/>
      <c r="I6" s="153"/>
      <c r="J6" s="153"/>
      <c r="K6" s="153"/>
      <c r="L6" s="153"/>
      <c r="M6" s="154"/>
    </row>
    <row r="7" spans="2:13" x14ac:dyDescent="0.3">
      <c r="B7" s="17" t="s">
        <v>126</v>
      </c>
      <c r="C7" s="153"/>
      <c r="D7" s="153"/>
      <c r="E7" s="153"/>
      <c r="F7" s="154"/>
      <c r="H7" s="17" t="s">
        <v>126</v>
      </c>
      <c r="I7" s="153"/>
      <c r="J7" s="153"/>
      <c r="K7" s="153"/>
      <c r="L7" s="153"/>
      <c r="M7" s="154"/>
    </row>
    <row r="8" spans="2:13" x14ac:dyDescent="0.3">
      <c r="B8" s="17" t="s">
        <v>127</v>
      </c>
      <c r="C8" s="153"/>
      <c r="D8" s="153"/>
      <c r="E8" s="153"/>
      <c r="F8" s="154"/>
      <c r="H8" s="17" t="s">
        <v>139</v>
      </c>
      <c r="I8" s="153"/>
      <c r="J8" s="153"/>
      <c r="K8" s="153"/>
      <c r="L8" s="153"/>
      <c r="M8" s="154"/>
    </row>
    <row r="9" spans="2:13" x14ac:dyDescent="0.3">
      <c r="B9" s="17" t="s">
        <v>128</v>
      </c>
      <c r="C9" s="113">
        <f>C10/'Income statement'!H44*1000000</f>
        <v>7.1582018930223237</v>
      </c>
      <c r="D9" s="113">
        <f>D10/'Income statement'!I44*1000000</f>
        <v>10.617732157610176</v>
      </c>
      <c r="E9" s="113">
        <f>E10/'Income statement'!J44*1000000</f>
        <v>14.682539783368462</v>
      </c>
      <c r="F9" s="104">
        <f>F10/'Income statement'!K44*1000000</f>
        <v>18.909573331614418</v>
      </c>
      <c r="H9" s="17" t="s">
        <v>128</v>
      </c>
      <c r="I9" s="153"/>
      <c r="J9" s="113">
        <f>J4*(2*J5*100)</f>
        <v>75.827319747929522</v>
      </c>
      <c r="K9" s="113">
        <f>K4*(2*K5*100)</f>
        <v>19.182567058245048</v>
      </c>
      <c r="L9" s="113">
        <f>L4*(2*L5*100)</f>
        <v>19.256488241640479</v>
      </c>
      <c r="M9" s="104">
        <f>M4*(2*M5*100)</f>
        <v>21.809369616264913</v>
      </c>
    </row>
    <row r="10" spans="2:13" x14ac:dyDescent="0.3">
      <c r="B10" s="17" t="s">
        <v>205</v>
      </c>
      <c r="C10" s="113">
        <f>C4*10</f>
        <v>7119.4749900000006</v>
      </c>
      <c r="D10" s="113">
        <f t="shared" ref="D10:F10" si="1">D4*10</f>
        <v>10560.288697684075</v>
      </c>
      <c r="E10" s="113">
        <f t="shared" si="1"/>
        <v>14603.10512885471</v>
      </c>
      <c r="F10" s="104">
        <f t="shared" si="1"/>
        <v>18807.269816911823</v>
      </c>
      <c r="H10" s="17" t="s">
        <v>205</v>
      </c>
      <c r="I10" s="153"/>
      <c r="J10" s="113">
        <f>J9/'Income statement'!H44</f>
        <v>7.6239787979427699E-8</v>
      </c>
      <c r="K10" s="113">
        <f>K9/'Income statement'!I44</f>
        <v>1.9286912029640738E-8</v>
      </c>
      <c r="L10" s="113">
        <f>L9/'Income statement'!J44</f>
        <v>1.9361235312700072E-8</v>
      </c>
      <c r="M10" s="104">
        <f>M9/'Income statement'!K44</f>
        <v>2.1928003271596721E-8</v>
      </c>
    </row>
    <row r="11" spans="2:13" x14ac:dyDescent="0.3">
      <c r="B11" s="17"/>
      <c r="C11" s="113"/>
      <c r="D11" s="113"/>
      <c r="E11" s="113"/>
      <c r="F11" s="104"/>
      <c r="H11" s="17"/>
      <c r="I11" s="153"/>
      <c r="J11" s="113"/>
      <c r="K11" s="113"/>
      <c r="L11" s="113"/>
      <c r="M11" s="104"/>
    </row>
    <row r="12" spans="2:13" x14ac:dyDescent="0.3">
      <c r="B12" s="17" t="s">
        <v>140</v>
      </c>
      <c r="C12" s="113"/>
      <c r="D12" s="113"/>
      <c r="E12" s="113"/>
      <c r="F12" s="104"/>
      <c r="H12" s="17" t="s">
        <v>143</v>
      </c>
      <c r="I12" s="153"/>
      <c r="J12" s="113"/>
      <c r="K12" s="113"/>
      <c r="L12" s="113"/>
      <c r="M12" s="104"/>
    </row>
    <row r="13" spans="2:13" x14ac:dyDescent="0.3">
      <c r="B13" s="17" t="s">
        <v>129</v>
      </c>
      <c r="C13" s="113"/>
      <c r="D13" s="113"/>
      <c r="E13" s="113"/>
      <c r="F13" s="104"/>
      <c r="H13" s="17" t="s">
        <v>141</v>
      </c>
      <c r="I13" s="153"/>
      <c r="J13" s="113"/>
      <c r="K13" s="113"/>
      <c r="L13" s="113"/>
      <c r="M13" s="104"/>
    </row>
    <row r="14" spans="2:13" x14ac:dyDescent="0.3">
      <c r="B14" s="17" t="s">
        <v>128</v>
      </c>
      <c r="C14" s="113">
        <f>C15/'Income statement'!H44*1000000</f>
        <v>3.5791009465111618</v>
      </c>
      <c r="D14" s="113">
        <f>D15/'Income statement'!I44*1000000</f>
        <v>5.3088660788050879</v>
      </c>
      <c r="E14" s="113">
        <f>E15/'Income statement'!J44*1000000</f>
        <v>7.3412698916842309</v>
      </c>
      <c r="F14" s="104">
        <f>F15/'Income statement'!K44*1000000</f>
        <v>9.4547866658072088</v>
      </c>
      <c r="H14" s="17" t="s">
        <v>128</v>
      </c>
      <c r="I14" s="153"/>
      <c r="J14" s="113">
        <f>J4*(1*J5*100)</f>
        <v>37.913659873964761</v>
      </c>
      <c r="K14" s="113">
        <f>K4*(1*K5*100)</f>
        <v>9.5912835291225242</v>
      </c>
      <c r="L14" s="113">
        <f>L4*(1*L5*100)</f>
        <v>9.6282441208202396</v>
      </c>
      <c r="M14" s="104">
        <f>M4*(1*M5*100)</f>
        <v>10.904684808132457</v>
      </c>
    </row>
    <row r="15" spans="2:13" x14ac:dyDescent="0.3">
      <c r="B15" s="17" t="s">
        <v>205</v>
      </c>
      <c r="C15" s="113">
        <f>C4*5</f>
        <v>3559.7374950000003</v>
      </c>
      <c r="D15" s="113">
        <f t="shared" ref="D15:F15" si="2">D4*5</f>
        <v>5280.1443488420373</v>
      </c>
      <c r="E15" s="113">
        <f t="shared" si="2"/>
        <v>7301.5525644273548</v>
      </c>
      <c r="F15" s="104">
        <f t="shared" si="2"/>
        <v>9403.6349084559115</v>
      </c>
      <c r="H15" s="17" t="s">
        <v>205</v>
      </c>
      <c r="I15" s="153"/>
      <c r="J15" s="113">
        <f>J14/'Income statement'!H44</f>
        <v>3.8119893989713849E-8</v>
      </c>
      <c r="K15" s="113">
        <f>K14/'Income statement'!I44</f>
        <v>9.6434560148203689E-9</v>
      </c>
      <c r="L15" s="113">
        <f>L14/'Income statement'!J44</f>
        <v>9.6806176563500361E-9</v>
      </c>
      <c r="M15" s="104">
        <f>M14/'Income statement'!K44</f>
        <v>1.0964001635798361E-8</v>
      </c>
    </row>
    <row r="16" spans="2:13" x14ac:dyDescent="0.3">
      <c r="B16" s="17"/>
      <c r="C16" s="113"/>
      <c r="D16" s="113"/>
      <c r="E16" s="113"/>
      <c r="F16" s="104"/>
      <c r="H16" s="17"/>
      <c r="I16" s="153"/>
      <c r="J16" s="113"/>
      <c r="K16" s="113"/>
      <c r="L16" s="113"/>
      <c r="M16" s="104"/>
    </row>
    <row r="17" spans="2:20" x14ac:dyDescent="0.3">
      <c r="B17" s="17" t="s">
        <v>144</v>
      </c>
      <c r="C17" s="113"/>
      <c r="D17" s="113"/>
      <c r="E17" s="113"/>
      <c r="F17" s="104"/>
      <c r="H17" s="17" t="s">
        <v>144</v>
      </c>
      <c r="I17" s="153"/>
      <c r="J17" s="113"/>
      <c r="K17" s="113"/>
      <c r="L17" s="113"/>
      <c r="M17" s="104"/>
    </row>
    <row r="18" spans="2:20" x14ac:dyDescent="0.3">
      <c r="B18" s="17" t="s">
        <v>130</v>
      </c>
      <c r="C18" s="113"/>
      <c r="D18" s="113"/>
      <c r="E18" s="113"/>
      <c r="F18" s="104"/>
      <c r="H18" s="17" t="s">
        <v>142</v>
      </c>
      <c r="I18" s="153"/>
      <c r="J18" s="113"/>
      <c r="K18" s="113"/>
      <c r="L18" s="113"/>
      <c r="M18" s="104"/>
    </row>
    <row r="19" spans="2:20" x14ac:dyDescent="0.3">
      <c r="B19" s="17" t="s">
        <v>128</v>
      </c>
      <c r="C19" s="113">
        <f>C20/'Income statement'!H44*1000000</f>
        <v>5.3686514197667439</v>
      </c>
      <c r="D19" s="113">
        <f>D20/'Income statement'!I44*1000000</f>
        <v>7.9632991182076314</v>
      </c>
      <c r="E19" s="113">
        <f>E20/'Income statement'!J44*1000000</f>
        <v>11.011904837526346</v>
      </c>
      <c r="F19" s="104">
        <f>F20/'Income statement'!K44*1000000</f>
        <v>14.18217999871081</v>
      </c>
      <c r="H19" s="17" t="s">
        <v>128</v>
      </c>
      <c r="I19" s="153"/>
      <c r="J19" s="113">
        <f>J4*(1.5*J5*100)</f>
        <v>56.870489810947134</v>
      </c>
      <c r="K19" s="113">
        <f>K4*(1.5*K5*100)</f>
        <v>14.386925293683786</v>
      </c>
      <c r="L19" s="113">
        <f>L4*(1.5*L5*100)</f>
        <v>14.44236618123036</v>
      </c>
      <c r="M19" s="104">
        <f>M4*(1.5*M5*100)</f>
        <v>16.357027212198684</v>
      </c>
    </row>
    <row r="20" spans="2:20" ht="15" thickBot="1" x14ac:dyDescent="0.35">
      <c r="B20" s="31" t="s">
        <v>205</v>
      </c>
      <c r="C20" s="121">
        <f>C4*7.5</f>
        <v>5339.6062425000009</v>
      </c>
      <c r="D20" s="121">
        <f t="shared" ref="D20:F20" si="3">D4*7.5</f>
        <v>7920.2165232630559</v>
      </c>
      <c r="E20" s="121">
        <f t="shared" si="3"/>
        <v>10952.328846641032</v>
      </c>
      <c r="F20" s="108">
        <f t="shared" si="3"/>
        <v>14105.452362683865</v>
      </c>
      <c r="H20" s="31" t="s">
        <v>205</v>
      </c>
      <c r="I20" s="155"/>
      <c r="J20" s="121">
        <f>J19/'Income statement'!H44</f>
        <v>5.7179840984570764E-8</v>
      </c>
      <c r="K20" s="121">
        <f>K19/'Income statement'!I44</f>
        <v>1.4465184022230553E-8</v>
      </c>
      <c r="L20" s="121">
        <f>L19/'Income statement'!J44</f>
        <v>1.4520926484525055E-8</v>
      </c>
      <c r="M20" s="108">
        <f>M19/'Income statement'!K44</f>
        <v>1.6446002453697542E-8</v>
      </c>
    </row>
    <row r="21" spans="2:20" ht="15" thickBot="1" x14ac:dyDescent="0.35"/>
    <row r="22" spans="2:20" s="11" customFormat="1" ht="15" thickBot="1" x14ac:dyDescent="0.35">
      <c r="B22" s="263" t="s">
        <v>131</v>
      </c>
      <c r="C22" s="264"/>
      <c r="D22" s="264"/>
      <c r="E22" s="264"/>
      <c r="F22" s="247">
        <f>F19/(1+DCF!C21)^3</f>
        <v>12.150205976754537</v>
      </c>
      <c r="H22" s="263" t="s">
        <v>145</v>
      </c>
      <c r="I22" s="264"/>
      <c r="J22" s="264"/>
      <c r="K22" s="264"/>
      <c r="L22" s="264"/>
      <c r="M22" s="247">
        <f>M19/(1+DCF!C21)^3</f>
        <v>14.013448554006439</v>
      </c>
    </row>
    <row r="23" spans="2:20" ht="15" thickBot="1" x14ac:dyDescent="0.35"/>
    <row r="24" spans="2:20" s="11" customFormat="1" x14ac:dyDescent="0.3">
      <c r="B24" s="275" t="s">
        <v>215</v>
      </c>
      <c r="C24" s="265"/>
      <c r="D24" s="265"/>
      <c r="E24" s="265"/>
      <c r="F24" s="266"/>
    </row>
    <row r="25" spans="2:20" x14ac:dyDescent="0.3">
      <c r="B25" s="17"/>
      <c r="C25" s="273" t="s">
        <v>135</v>
      </c>
      <c r="D25" s="273"/>
      <c r="E25" s="273"/>
      <c r="F25" s="274"/>
      <c r="I25" s="251"/>
      <c r="J25" s="251"/>
      <c r="K25" s="251"/>
      <c r="L25" s="251"/>
      <c r="M25" s="251"/>
      <c r="N25" s="251"/>
    </row>
    <row r="26" spans="2:20" x14ac:dyDescent="0.3">
      <c r="B26" s="17" t="s">
        <v>132</v>
      </c>
      <c r="C26" s="267">
        <f>DCF!E42</f>
        <v>7.3127875348337028</v>
      </c>
      <c r="D26" s="267"/>
      <c r="E26" s="267"/>
      <c r="F26" s="268"/>
      <c r="I26" s="251"/>
    </row>
    <row r="27" spans="2:20" x14ac:dyDescent="0.3">
      <c r="B27" s="17" t="s">
        <v>133</v>
      </c>
      <c r="C27" s="269">
        <f>DCF!G40</f>
        <v>-0.56710552938355197</v>
      </c>
      <c r="D27" s="269"/>
      <c r="E27" s="269"/>
      <c r="F27" s="270"/>
      <c r="I27" s="251"/>
    </row>
    <row r="28" spans="2:20" ht="15" thickBot="1" x14ac:dyDescent="0.35">
      <c r="B28" s="31" t="s">
        <v>134</v>
      </c>
      <c r="C28" s="271">
        <f>DCF!F41</f>
        <v>2.599176386015607</v>
      </c>
      <c r="D28" s="271"/>
      <c r="E28" s="271"/>
      <c r="F28" s="272"/>
      <c r="I28" s="251"/>
      <c r="T28" s="253"/>
    </row>
    <row r="29" spans="2:20" ht="15" thickBot="1" x14ac:dyDescent="0.35">
      <c r="T29" s="254">
        <f>((14.01+12.15)/2)/C37</f>
        <v>2.2343696617697302</v>
      </c>
    </row>
    <row r="30" spans="2:20" s="11" customFormat="1" x14ac:dyDescent="0.3">
      <c r="B30" s="49" t="s">
        <v>146</v>
      </c>
      <c r="C30" s="265" t="s">
        <v>128</v>
      </c>
      <c r="D30" s="265"/>
      <c r="E30" s="265" t="s">
        <v>147</v>
      </c>
      <c r="F30" s="266"/>
      <c r="T30" s="254">
        <f>(C32+C31)/2</f>
        <v>13.081827265380488</v>
      </c>
    </row>
    <row r="31" spans="2:20" x14ac:dyDescent="0.3">
      <c r="B31" s="17" t="s">
        <v>148</v>
      </c>
      <c r="C31" s="277">
        <f>F22</f>
        <v>12.150205976754537</v>
      </c>
      <c r="D31" s="284"/>
      <c r="E31" s="278">
        <f>C31/$C$37-1</f>
        <v>1.0755391145805495</v>
      </c>
      <c r="F31" s="279"/>
      <c r="T31" s="253"/>
    </row>
    <row r="32" spans="2:20" x14ac:dyDescent="0.3">
      <c r="B32" s="17" t="s">
        <v>149</v>
      </c>
      <c r="C32" s="277">
        <f>M22</f>
        <v>14.013448554006439</v>
      </c>
      <c r="D32" s="284"/>
      <c r="E32" s="278">
        <f t="shared" ref="E32:E34" si="4">C32/$C$37-1</f>
        <v>1.3938244882142876</v>
      </c>
      <c r="F32" s="279"/>
      <c r="T32" s="253"/>
    </row>
    <row r="33" spans="2:20" x14ac:dyDescent="0.3">
      <c r="B33" s="17" t="s">
        <v>150</v>
      </c>
      <c r="C33" s="277">
        <f>C28</f>
        <v>2.599176386015607</v>
      </c>
      <c r="D33" s="284"/>
      <c r="E33" s="280">
        <f t="shared" si="4"/>
        <v>-0.55599993405951365</v>
      </c>
      <c r="F33" s="281"/>
      <c r="T33" s="253"/>
    </row>
    <row r="34" spans="2:20" ht="15" thickBot="1" x14ac:dyDescent="0.35">
      <c r="B34" s="31" t="s">
        <v>151</v>
      </c>
      <c r="C34" s="285">
        <f>AVERAGE(C31:D33)</f>
        <v>9.5876103055921948</v>
      </c>
      <c r="D34" s="285"/>
      <c r="E34" s="282">
        <f t="shared" si="4"/>
        <v>0.63778788957844124</v>
      </c>
      <c r="F34" s="283"/>
      <c r="T34" s="253"/>
    </row>
    <row r="35" spans="2:20" ht="15" thickBot="1" x14ac:dyDescent="0.35"/>
    <row r="36" spans="2:20" x14ac:dyDescent="0.3">
      <c r="B36" s="14" t="s">
        <v>152</v>
      </c>
      <c r="C36" s="276">
        <f>10398440000</f>
        <v>10398440000</v>
      </c>
      <c r="D36" s="276"/>
      <c r="E36" s="15"/>
      <c r="F36" s="16"/>
    </row>
    <row r="37" spans="2:20" x14ac:dyDescent="0.3">
      <c r="B37" s="17" t="s">
        <v>153</v>
      </c>
      <c r="C37" s="277">
        <v>5.8540000000000001</v>
      </c>
      <c r="D37" s="277"/>
      <c r="E37" s="153" t="s">
        <v>154</v>
      </c>
      <c r="F37" s="154"/>
    </row>
    <row r="38" spans="2:20" ht="15" thickBot="1" x14ac:dyDescent="0.35">
      <c r="B38" s="31"/>
      <c r="C38" s="262">
        <f>C36/C37</f>
        <v>1776296549.3679535</v>
      </c>
      <c r="D38" s="262"/>
      <c r="E38" s="155"/>
      <c r="F38" s="156"/>
    </row>
  </sheetData>
  <mergeCells count="22">
    <mergeCell ref="B2:F2"/>
    <mergeCell ref="H2:M2"/>
    <mergeCell ref="C36:D36"/>
    <mergeCell ref="C37:D37"/>
    <mergeCell ref="E31:F31"/>
    <mergeCell ref="E32:F32"/>
    <mergeCell ref="E33:F33"/>
    <mergeCell ref="E34:F34"/>
    <mergeCell ref="C31:D31"/>
    <mergeCell ref="C32:D32"/>
    <mergeCell ref="C33:D33"/>
    <mergeCell ref="C34:D34"/>
    <mergeCell ref="C38:D38"/>
    <mergeCell ref="H22:L22"/>
    <mergeCell ref="E30:F30"/>
    <mergeCell ref="C30:D30"/>
    <mergeCell ref="C26:F26"/>
    <mergeCell ref="C27:F27"/>
    <mergeCell ref="C28:F28"/>
    <mergeCell ref="C25:F25"/>
    <mergeCell ref="B24:F24"/>
    <mergeCell ref="B22:E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1CED7-99A8-4067-9AC4-7EC3960A9E0E}">
  <dimension ref="B1:H42"/>
  <sheetViews>
    <sheetView zoomScaleNormal="100" workbookViewId="0">
      <selection activeCell="J35" sqref="J35"/>
    </sheetView>
  </sheetViews>
  <sheetFormatPr defaultRowHeight="14.4" x14ac:dyDescent="0.3"/>
  <cols>
    <col min="2" max="2" width="27.88671875" bestFit="1" customWidth="1"/>
    <col min="3" max="3" width="29.33203125" bestFit="1" customWidth="1"/>
    <col min="4" max="4" width="17.88671875" bestFit="1" customWidth="1"/>
    <col min="5" max="5" width="18.44140625" bestFit="1" customWidth="1"/>
    <col min="6" max="6" width="18.44140625" customWidth="1"/>
    <col min="7" max="7" width="17.88671875" bestFit="1" customWidth="1"/>
    <col min="8" max="8" width="12.6640625" bestFit="1" customWidth="1"/>
  </cols>
  <sheetData>
    <row r="1" spans="2:8" ht="15" thickBot="1" x14ac:dyDescent="0.35"/>
    <row r="2" spans="2:8" x14ac:dyDescent="0.3">
      <c r="B2" s="14"/>
      <c r="C2" s="15">
        <v>2022</v>
      </c>
      <c r="D2" s="15">
        <v>2023</v>
      </c>
      <c r="E2" s="15">
        <v>2024</v>
      </c>
      <c r="F2" s="16">
        <v>2025</v>
      </c>
    </row>
    <row r="3" spans="2:8" x14ac:dyDescent="0.3">
      <c r="B3" s="17" t="s">
        <v>211</v>
      </c>
      <c r="C3" s="237">
        <v>49960697.583776891</v>
      </c>
      <c r="D3" s="237">
        <v>83059565.066861972</v>
      </c>
      <c r="E3" s="237">
        <v>131794591.58740337</v>
      </c>
      <c r="F3" s="238">
        <v>197160197.52689773</v>
      </c>
    </row>
    <row r="4" spans="2:8" ht="15" thickBot="1" x14ac:dyDescent="0.35">
      <c r="B4" s="31" t="s">
        <v>104</v>
      </c>
      <c r="C4" s="239">
        <f>('Cashflow statement'!D9+'Cashflow statement'!D11)*1000000</f>
        <v>3978189316.2189965</v>
      </c>
      <c r="D4" s="239">
        <f>('Cashflow statement'!E9+'Cashflow statement'!E11)*1000000</f>
        <v>4778463293.0642471</v>
      </c>
      <c r="E4" s="239">
        <f>('Cashflow statement'!F9+'Cashflow statement'!F11)*1000000</f>
        <v>6191330497.562459</v>
      </c>
      <c r="F4" s="240">
        <f>('Cashflow statement'!G9+'Cashflow statement'!G11)*1000000</f>
        <v>5905817022.2583055</v>
      </c>
    </row>
    <row r="5" spans="2:8" ht="15" thickBot="1" x14ac:dyDescent="0.35"/>
    <row r="6" spans="2:8" x14ac:dyDescent="0.3">
      <c r="B6" s="49" t="s">
        <v>107</v>
      </c>
      <c r="C6" s="15" t="s">
        <v>24</v>
      </c>
      <c r="D6" s="15" t="s">
        <v>208</v>
      </c>
      <c r="E6" s="16" t="s">
        <v>209</v>
      </c>
    </row>
    <row r="7" spans="2:8" x14ac:dyDescent="0.3">
      <c r="B7" s="17" t="s">
        <v>78</v>
      </c>
      <c r="C7" s="113">
        <f>'Valuation sheet'!C37*'Valuation sheet'!C38</f>
        <v>10398440000</v>
      </c>
      <c r="D7" s="29">
        <f>C7/(C7+C8)</f>
        <v>0.72136547221146952</v>
      </c>
      <c r="E7" s="104" t="s">
        <v>23</v>
      </c>
    </row>
    <row r="8" spans="2:8" ht="15" thickBot="1" x14ac:dyDescent="0.35">
      <c r="B8" s="31" t="s">
        <v>108</v>
      </c>
      <c r="C8" s="121">
        <f>'Balance Sheet'!F51*1000000</f>
        <v>4016500000</v>
      </c>
      <c r="D8" s="199">
        <f>C8/(C7+C8)</f>
        <v>0.27863452778853048</v>
      </c>
      <c r="E8" s="108">
        <f>('Income statement'!G28+'Income statement'!G19)*-1000000</f>
        <v>7600000</v>
      </c>
    </row>
    <row r="9" spans="2:8" ht="15" thickBot="1" x14ac:dyDescent="0.35"/>
    <row r="10" spans="2:8" x14ac:dyDescent="0.3">
      <c r="B10" s="14" t="s">
        <v>109</v>
      </c>
      <c r="C10" s="241">
        <f>C11+C12*(C13-C11)</f>
        <v>7.2599999999999998E-2</v>
      </c>
      <c r="H10" t="s">
        <v>212</v>
      </c>
    </row>
    <row r="11" spans="2:8" x14ac:dyDescent="0.3">
      <c r="B11" s="17" t="s">
        <v>110</v>
      </c>
      <c r="C11" s="225">
        <f>AVERAGE(2.1,2.2,2,2.1,1.1,1.3)/100</f>
        <v>1.8000000000000002E-2</v>
      </c>
      <c r="E11" s="1"/>
      <c r="F11" s="13"/>
      <c r="G11" s="1"/>
      <c r="H11" t="s">
        <v>182</v>
      </c>
    </row>
    <row r="12" spans="2:8" x14ac:dyDescent="0.3">
      <c r="B12" s="17" t="s">
        <v>106</v>
      </c>
      <c r="C12" s="154">
        <v>1</v>
      </c>
    </row>
    <row r="13" spans="2:8" ht="15" thickBot="1" x14ac:dyDescent="0.35">
      <c r="B13" s="31" t="s">
        <v>111</v>
      </c>
      <c r="C13" s="227">
        <v>7.2599999999999998E-2</v>
      </c>
    </row>
    <row r="14" spans="2:8" ht="15" thickBot="1" x14ac:dyDescent="0.35"/>
    <row r="15" spans="2:8" x14ac:dyDescent="0.3">
      <c r="B15" s="14" t="s">
        <v>112</v>
      </c>
      <c r="C15" s="193">
        <f>C17*(1-C16)</f>
        <v>1.4225989326873364E-3</v>
      </c>
    </row>
    <row r="16" spans="2:8" x14ac:dyDescent="0.3">
      <c r="B16" s="17" t="s">
        <v>55</v>
      </c>
      <c r="C16" s="59">
        <f>'Income statement'!G33*-1</f>
        <v>0.24817518248175174</v>
      </c>
    </row>
    <row r="17" spans="2:3" ht="15" thickBot="1" x14ac:dyDescent="0.35">
      <c r="B17" s="31" t="s">
        <v>213</v>
      </c>
      <c r="C17" s="242">
        <f>E8/C8</f>
        <v>1.892194696875389E-3</v>
      </c>
    </row>
    <row r="18" spans="2:3" ht="15" thickBot="1" x14ac:dyDescent="0.35"/>
    <row r="19" spans="2:3" x14ac:dyDescent="0.3">
      <c r="B19" s="14" t="s">
        <v>105</v>
      </c>
      <c r="C19" s="241">
        <f>C10*D7</f>
        <v>5.2371133282552683E-2</v>
      </c>
    </row>
    <row r="20" spans="2:3" x14ac:dyDescent="0.3">
      <c r="B20" s="17" t="s">
        <v>183</v>
      </c>
      <c r="C20" s="225">
        <f>C17*D8</f>
        <v>5.2723077584783558E-4</v>
      </c>
    </row>
    <row r="21" spans="2:3" ht="15" thickBot="1" x14ac:dyDescent="0.35">
      <c r="B21" s="53" t="s">
        <v>210</v>
      </c>
      <c r="C21" s="246">
        <f>C19+C20</f>
        <v>5.2898364058400517E-2</v>
      </c>
    </row>
    <row r="22" spans="2:3" ht="15" thickBot="1" x14ac:dyDescent="0.35"/>
    <row r="23" spans="2:3" ht="15" thickBot="1" x14ac:dyDescent="0.35">
      <c r="B23" s="236" t="s">
        <v>113</v>
      </c>
      <c r="C23" s="177">
        <f>NPV(C21,C3:F3)</f>
        <v>395710941.11567563</v>
      </c>
    </row>
    <row r="24" spans="2:3" ht="15" thickBot="1" x14ac:dyDescent="0.35"/>
    <row r="25" spans="2:3" x14ac:dyDescent="0.3">
      <c r="B25" s="14" t="s">
        <v>114</v>
      </c>
      <c r="C25" s="16"/>
    </row>
    <row r="26" spans="2:3" x14ac:dyDescent="0.3">
      <c r="B26" s="17" t="s">
        <v>115</v>
      </c>
      <c r="C26" s="248">
        <f>C41</f>
        <v>2.5000000000000001E-2</v>
      </c>
    </row>
    <row r="27" spans="2:3" x14ac:dyDescent="0.3">
      <c r="B27" s="17" t="s">
        <v>114</v>
      </c>
      <c r="C27" s="238">
        <f>F3*(1+C26)/(C21-C26)</f>
        <v>7243765334.8429508</v>
      </c>
    </row>
    <row r="28" spans="2:3" ht="15" thickBot="1" x14ac:dyDescent="0.35">
      <c r="B28" s="31" t="s">
        <v>116</v>
      </c>
      <c r="C28" s="240">
        <f>C27/(1+C21)^3</f>
        <v>6205903526.3701868</v>
      </c>
    </row>
    <row r="29" spans="2:3" ht="15" thickBot="1" x14ac:dyDescent="0.35"/>
    <row r="30" spans="2:3" x14ac:dyDescent="0.3">
      <c r="B30" s="49" t="s">
        <v>117</v>
      </c>
      <c r="C30" s="243"/>
    </row>
    <row r="31" spans="2:3" x14ac:dyDescent="0.3">
      <c r="B31" s="17" t="s">
        <v>118</v>
      </c>
      <c r="C31" s="244">
        <f>C28+C23</f>
        <v>6601614467.4858627</v>
      </c>
    </row>
    <row r="32" spans="2:3" x14ac:dyDescent="0.3">
      <c r="B32" s="17" t="s">
        <v>119</v>
      </c>
      <c r="C32" s="244">
        <f>('Balance Sheet'!F35+'Balance Sheet'!F50)*1000000</f>
        <v>4016500000</v>
      </c>
    </row>
    <row r="33" spans="2:8" x14ac:dyDescent="0.3">
      <c r="B33" s="17" t="s">
        <v>120</v>
      </c>
      <c r="C33" s="244">
        <f>C31-C32</f>
        <v>2585114467.4858627</v>
      </c>
    </row>
    <row r="34" spans="2:8" x14ac:dyDescent="0.3">
      <c r="B34" s="17" t="s">
        <v>121</v>
      </c>
      <c r="C34" s="245">
        <f>'Income statement'!E44</f>
        <v>994589856</v>
      </c>
    </row>
    <row r="35" spans="2:8" ht="15" thickBot="1" x14ac:dyDescent="0.35">
      <c r="B35" s="31" t="s">
        <v>122</v>
      </c>
      <c r="C35" s="108">
        <f>C33/C34</f>
        <v>2.599176386015607</v>
      </c>
    </row>
    <row r="36" spans="2:8" x14ac:dyDescent="0.3">
      <c r="E36" s="1"/>
    </row>
    <row r="37" spans="2:8" ht="15" thickBot="1" x14ac:dyDescent="0.35"/>
    <row r="38" spans="2:8" x14ac:dyDescent="0.3">
      <c r="B38" s="14" t="s">
        <v>123</v>
      </c>
      <c r="C38" s="16"/>
      <c r="D38" s="256" t="s">
        <v>210</v>
      </c>
      <c r="E38" s="257"/>
      <c r="F38" s="257"/>
      <c r="G38" s="257"/>
      <c r="H38" s="258"/>
    </row>
    <row r="39" spans="2:8" ht="15" thickBot="1" x14ac:dyDescent="0.35">
      <c r="B39" s="31"/>
      <c r="C39" s="156"/>
      <c r="D39" s="230">
        <v>0.04</v>
      </c>
      <c r="E39" s="226">
        <f>F39*(1-0.125)</f>
        <v>4.628606855110045E-2</v>
      </c>
      <c r="F39" s="226">
        <f>C21</f>
        <v>5.2898364058400517E-2</v>
      </c>
      <c r="G39" s="226">
        <f>F39+0.02</f>
        <v>7.2898364058400514E-2</v>
      </c>
      <c r="H39" s="227">
        <f>G39+0.02</f>
        <v>9.2898364058400518E-2</v>
      </c>
    </row>
    <row r="40" spans="2:8" x14ac:dyDescent="0.3">
      <c r="B40" s="286" t="s">
        <v>115</v>
      </c>
      <c r="C40" s="248">
        <v>0.02</v>
      </c>
      <c r="D40" s="228">
        <f t="shared" ref="D40:H42" si="0">(((NPV(D$39,$C$3:$F$3)+$F$3*(1+$C40)/(D$39-$C40)/(1+D$39)^3))-$C$32)/$C$34</f>
        <v>5.3620496868187892</v>
      </c>
      <c r="E40" s="229">
        <f t="shared" si="0"/>
        <v>3.0828647545944956</v>
      </c>
      <c r="F40" s="229">
        <f t="shared" si="0"/>
        <v>1.6250410841590626</v>
      </c>
      <c r="G40" s="231">
        <f t="shared" si="0"/>
        <v>-0.56710552938355197</v>
      </c>
      <c r="H40" s="232">
        <f t="shared" si="0"/>
        <v>-1.5572063263486835</v>
      </c>
    </row>
    <row r="41" spans="2:8" x14ac:dyDescent="0.3">
      <c r="B41" s="286"/>
      <c r="C41" s="248">
        <v>2.5000000000000001E-2</v>
      </c>
      <c r="D41" s="103">
        <f t="shared" si="0"/>
        <v>8.416670384379648</v>
      </c>
      <c r="E41" s="113">
        <f t="shared" si="0"/>
        <v>4.7010314019361363</v>
      </c>
      <c r="F41" s="113">
        <f t="shared" si="0"/>
        <v>2.599176386015607</v>
      </c>
      <c r="G41" s="250">
        <f t="shared" si="0"/>
        <v>-0.22727285326402777</v>
      </c>
      <c r="H41" s="233">
        <f t="shared" si="0"/>
        <v>-1.3895543880263841</v>
      </c>
    </row>
    <row r="42" spans="2:8" ht="15" thickBot="1" x14ac:dyDescent="0.35">
      <c r="B42" s="287"/>
      <c r="C42" s="249">
        <v>0.03</v>
      </c>
      <c r="D42" s="107">
        <f t="shared" si="0"/>
        <v>14.52591177950136</v>
      </c>
      <c r="E42" s="121">
        <f t="shared" si="0"/>
        <v>7.3127875348337028</v>
      </c>
      <c r="F42" s="121">
        <f t="shared" si="0"/>
        <v>3.9987286737197376</v>
      </c>
      <c r="G42" s="235">
        <f t="shared" si="0"/>
        <v>0.19177791976401506</v>
      </c>
      <c r="H42" s="234">
        <f t="shared" si="0"/>
        <v>-1.1952480301763135</v>
      </c>
    </row>
  </sheetData>
  <mergeCells count="2">
    <mergeCell ref="B40:B42"/>
    <mergeCell ref="D38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Explanation</vt:lpstr>
      <vt:lpstr>Revenue sheet</vt:lpstr>
      <vt:lpstr>Income statement</vt:lpstr>
      <vt:lpstr>Balance Sheet</vt:lpstr>
      <vt:lpstr>Cashflow statement</vt:lpstr>
      <vt:lpstr>Valuation sheet</vt:lpstr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tesselaar</dc:creator>
  <cp:lastModifiedBy>pieter tesselaar</cp:lastModifiedBy>
  <dcterms:created xsi:type="dcterms:W3CDTF">2015-06-05T18:17:20Z</dcterms:created>
  <dcterms:modified xsi:type="dcterms:W3CDTF">2022-01-30T14:42:49Z</dcterms:modified>
</cp:coreProperties>
</file>